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masb\Documents\giełda\raporty\raporty okresowe\2020_Y\"/>
    </mc:Choice>
  </mc:AlternateContent>
  <xr:revisionPtr revIDLastSave="0" documentId="13_ncr:1_{5CF77C7D-D226-4DD1-958E-F6D98D7B9F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lans_s" sheetId="2" r:id="rId1"/>
    <sheet name="RZIS_s" sheetId="3" r:id="rId2"/>
    <sheet name="CF_s" sheetId="4" r:id="rId3"/>
    <sheet name="ZZKW_s" sheetId="5" r:id="rId4"/>
    <sheet name="Bilans_j" sheetId="6" r:id="rId5"/>
    <sheet name="RZIS_j" sheetId="7" r:id="rId6"/>
    <sheet name="CF_j" sheetId="8" r:id="rId7"/>
    <sheet name="ZZKW_j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R1_Nieodlaczne" localSheetId="5">#REF!</definedName>
    <definedName name="_R1_Nieodlaczne">#REF!</definedName>
    <definedName name="_R2_Kontrolwewn" localSheetId="5">#REF!</definedName>
    <definedName name="_R2_Kontrolwewn">#REF!</definedName>
    <definedName name="_R3_Analityczne" localSheetId="5">#REF!</definedName>
    <definedName name="_R3_Analityczne">#REF!</definedName>
    <definedName name="aa">[1]SF!$C$201:$D$203,[1]SF!$C$205:$D$207,[1]SF!$C$209:$D$210,[1]SF!$C$213:$D$215,[1]SF!$C$217:$D$219,[1]SF!$C$222:$D$228,[1]SF!$C$230:$D$234,[1]SF!$C$237:$D$238,[1]SF!$C$240:$D$241</definedName>
    <definedName name="aaa" localSheetId="5">#REF!</definedName>
    <definedName name="aaa">#REF!</definedName>
    <definedName name="adres">[2]WSTĘP!$IU$5</definedName>
    <definedName name="ala">[3]WSTĘP!$IU$9</definedName>
    <definedName name="AS2DocOpenMode" hidden="1">"AS2DocumentEdit"</definedName>
    <definedName name="B.O.">[2]WSTĘP!$IU$13</definedName>
    <definedName name="B.Z.">[2]WSTĘP!$IU$9</definedName>
    <definedName name="bbb" localSheetId="5">#REF!</definedName>
    <definedName name="bbb">#REF!</definedName>
    <definedName name="cfff">#REF!</definedName>
    <definedName name="COP" localSheetId="5">#REF!</definedName>
    <definedName name="COP">#REF!</definedName>
    <definedName name="Dane_aktywa">[4]SF!$C$11:$D$14,[4]SF!$C$17:$D$23,[4]SF!$C$25:$D$26,[4]SF!$C$28:$D$29,[4]SF!$C$32:$D$35,[4]SF!$C$37:$D$41,[4]SF!$C$43:$D$44,[4]SF!$C$47:$D$51,[4]SF!$C$55:$D$57,[4]SF!$C$60:$D$64,[4]SF!$C$68:$D$71,[4]SF!$C$73:$D$76,[4]SF!$C$78:$D$82</definedName>
    <definedName name="Dane_Bilansu">[5]SF!$C$11:$D$15,[5]SF!$C$17:$D$23,[5]SF!$C$25:$D$29,[5]SF!$C$32:$D$36,[5]SF!$C$38:$D$42,[5]SF!$C$44:$D$45,[5]SF!$C$47:$D$49,[5]SF!$C$51:$D$52,[5]SF!$C$60:$D$61,[5]SF!$C$63:$D$69,[5]SF!$C$71:$D$72,[5]SF!$C$74:$D$75,[5]SF!$C$77:$D$78,[5]SF!$C$80:$D$82,[5]SF!$C$85:$D$94,[5]SF!$C$96:$D$97</definedName>
    <definedName name="Dane_kalkulacyjny">[4]SF!$C$201:$D$203,[4]SF!$C$205:$D$207,[4]SF!$C$209:$D$210,[4]SF!$C$213:$D$215,[4]SF!$C$217:$D$219,[4]SF!$C$222:$D$228,[4]SF!$C$230:$D$234,[4]SF!$C$237:$D$238,[4]SF!$C$240:$D$241</definedName>
    <definedName name="Dane_pasywa">[4]SF!$C$90:$D$98,[4]SF!$C$101:$D$101,[4]SF!$C$103:$D$104,[4]SF!$C$106:$D$107,[4]SF!$C$109:$D$109,[4]SF!$C$111:$D$114,[4]SF!$C$118:$D$120,[4]SF!$C$122:$D$124,[4]SF!$C$126:$D$133,[4]SF!$C$135:$D$135,[4]SF!$C$137:$D$138</definedName>
    <definedName name="Dane_porównawczy">[4]SF!$C$147:$D$151,[4]SF!$C$153:$D$161,[4]SF!$C$164:$D$166,[4]SF!$C$168:$D$170,[4]SF!$C$173:$D$179,[4]SF!$C$181:$D$185,[4]SF!$C$188:$D$189,[4]SF!$C$191:$D$192</definedName>
    <definedName name="Dane_RZiS_1.Rodz.">[5]SF!$C$105:$D$108,[5]SF!$C$110:$D$117,[5]SF!$C$120:$D$122,[5]SF!$C$124:$D$125,[5]SF!$C$128:$D$131,[5]SF!$C$133:$D$136,[5]SF!$C$138:$D$139,[5]SF!$C$142:$D$143</definedName>
    <definedName name="Dane_RZiS_2.Kalk.">[5]SF!$C$151,[5]SF!$C$151:$D$152,[5]SF!$C$154:$D$155,[5]SF!$C$157:$D$158,[5]SF!$C$161:$D$163,[5]SF!$C$165:$D$166,[5]SF!$C$169:$D$172,[5]SF!$C$174:$D$177,[5]SF!$C$179:$D$180,[5]SF!$C$183:$D$184</definedName>
    <definedName name="DataZatw">[6]Wstęp!$CI$88</definedName>
    <definedName name="DB">[7]P1!$AX$126</definedName>
    <definedName name="FromaPrawna">[2]WSTĘP!$IU$3</definedName>
    <definedName name="kodmiejscowość">[2]WSTĘP!$IU$6</definedName>
    <definedName name="KonOkrSpraw">[6]Wstęp!$CI$73</definedName>
    <definedName name="Korekty_Aktywa">[5]SF!$F$11:$U$15,[5]SF!$F$17:$U$23,[5]SF!$F$25:$U$29,[5]SF!$F$32:$U$36,[5]SF!$F$38:$T$42,[5]SF!$U$38,[5]SF!$U$40:$U$42,[5]SF!$F$44:$U$45,[5]SF!$F$47:$U$49,[5]SF!$F$51:$U$52</definedName>
    <definedName name="Korekty_Pasywa">[5]SF!$F$60:$U$61,[5]SF!$F$63:$U$69,[5]SF!$F$71:$U$72,[5]SF!$F$75:$U$75,[5]SF!$F$77:$U$78,[5]SF!$F$80:$U$82,[5]SF!$F$85:$T$94,[5]SF!$U$85:$U$89,[5]SF!$U$91:$U$94,[5]SF!$F$96:$U$97</definedName>
    <definedName name="Korekty_RZiS_1.Rodz.">[5]SF!$F$105:$U$108,[5]SF!$F$110:$U$117,[5]SF!$F$120:$U$122,[5]SF!$F$124:$U$125,[5]SF!$F$128:$U$131,[5]SF!$F$133:$U$136,[5]SF!$F$138:$U$139,[5]SF!$F$142:$T$143,[5]SF!$U$143</definedName>
    <definedName name="Korekty_RZiS_2.Kalk.">[5]SF!$F$151:$U$152,[5]SF!$F$154:$U$155,[5]SF!$F$157:$U$158,[5]SF!$F$161:$U$163,[5]SF!$F$165:$U$166,[5]SF!$F$169:$U$172,[5]SF!$F$174:$U$177,[5]SF!$F$179:$U$180,[5]SF!$F$183:$T$184,[5]SF!$U$184</definedName>
    <definedName name="LDB">[7]P1!$AX$123</definedName>
    <definedName name="LOK">[7]P1!$AX$124</definedName>
    <definedName name="LOKW">[7]P1!$AX$125</definedName>
    <definedName name="MiejsceData">[2]WSTĘP!$IU$78</definedName>
    <definedName name="miejscowość">[2]WSTĘP!$IU$8</definedName>
    <definedName name="mm">[1]SF!$C$11:$D$14,[1]SF!$C$17:$D$23,[1]SF!$C$25:$D$26,[1]SF!$C$28:$D$29,[1]SF!$C$32:$D$35,[1]SF!$C$37:$D$41,[1]SF!$C$43:$D$44,[1]SF!$C$47:$D$51,[1]SF!$C$55:$D$57,[1]SF!$C$60:$D$64,[1]SF!$C$68:$D$71,[1]SF!$C$73:$D$76,[1]SF!$C$78:$D$82</definedName>
    <definedName name="n" localSheetId="5">#REF!</definedName>
    <definedName name="n">#REF!</definedName>
    <definedName name="NazwaJednostki">[6]Wstęp!$Q$15</definedName>
    <definedName name="_xlnm.Print_Area" localSheetId="4">Bilans_j!$A$1:$D$77</definedName>
    <definedName name="_xlnm.Print_Area" localSheetId="0">Bilans_s!$A$1:$D$77</definedName>
    <definedName name="_xlnm.Print_Area" localSheetId="6">CF_j!$A$1:$C$87</definedName>
    <definedName name="_xlnm.Print_Area" localSheetId="2">CF_s!$A$1:$C$83</definedName>
    <definedName name="_xlnm.Print_Area" localSheetId="5">RZIS_j!$A$1:$D$83</definedName>
    <definedName name="_xlnm.Print_Area" localSheetId="1">RZIS_s!$A$1:$D$79</definedName>
    <definedName name="_xlnm.Print_Area" localSheetId="7">ZZKW_j!$A$1:$H$79</definedName>
    <definedName name="_xlnm.Print_Area" localSheetId="3">ZZKW_s!$A$1:$H$73</definedName>
    <definedName name="OdDo">[6]Wstęp!$CI$63</definedName>
    <definedName name="OdDoPoprz">[6]Wstęp!$CI$64</definedName>
    <definedName name="OK">[7]P1!$AX$127</definedName>
    <definedName name="okresbieżący">[2]WSTĘP!$IU$16</definedName>
    <definedName name="okrespoprzedni">[2]WSTĘP!$IU$18</definedName>
    <definedName name="Pain">[7]P1!$AX$134</definedName>
    <definedName name="PoprzedniB.Z.">[2]WSTĘP!$IU$15</definedName>
    <definedName name="PoziomZaokraglen">[6]Wstęp!$CI$117</definedName>
    <definedName name="RZISjednoKRSwzor">[6]Wstęp!$Q$15</definedName>
    <definedName name="SiedzibaMiasto">[6]Wstęp!$V$19</definedName>
    <definedName name="SkrotWaluty">[6]Wstęp!$CI$108</definedName>
    <definedName name="Tabela_1.1">[7]SF!$B$5:$AK$83</definedName>
    <definedName name="Tabela_1.2">[7]SF!$B$85:$AK$139</definedName>
    <definedName name="Tabela_2.1">[7]SF!$B$142:$AK$194</definedName>
    <definedName name="Tabela_2.2">[7]SF!$B$197:$AK$244</definedName>
    <definedName name="WalutaSpraw">[6]Wstęp!$CI$107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8" i="9" l="1"/>
  <c r="H67" i="9"/>
  <c r="H64" i="9"/>
  <c r="H55" i="9"/>
  <c r="C35" i="9"/>
  <c r="C40" i="9" s="1"/>
  <c r="C42" i="9" s="1"/>
  <c r="C48" i="9" s="1"/>
  <c r="C70" i="9" s="1"/>
  <c r="B35" i="9"/>
  <c r="B40" i="9" s="1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2" i="9"/>
  <c r="F7" i="9"/>
  <c r="E7" i="9"/>
  <c r="F5" i="9"/>
  <c r="C5" i="9"/>
  <c r="H5" i="9" s="1"/>
  <c r="C80" i="8"/>
  <c r="C75" i="8"/>
  <c r="B71" i="8"/>
  <c r="B63" i="8"/>
  <c r="B75" i="8" s="1"/>
  <c r="C57" i="8"/>
  <c r="B57" i="8"/>
  <c r="C40" i="8"/>
  <c r="B40" i="8"/>
  <c r="B33" i="8"/>
  <c r="B29" i="8"/>
  <c r="D42" i="7"/>
  <c r="C42" i="7"/>
  <c r="C35" i="7"/>
  <c r="D33" i="7"/>
  <c r="D35" i="7" s="1"/>
  <c r="C33" i="7"/>
  <c r="C27" i="7"/>
  <c r="C26" i="7" s="1"/>
  <c r="D26" i="7"/>
  <c r="D16" i="7"/>
  <c r="C16" i="7"/>
  <c r="D15" i="7"/>
  <c r="C15" i="7"/>
  <c r="D13" i="7"/>
  <c r="C13" i="7"/>
  <c r="D12" i="7"/>
  <c r="D10" i="7" s="1"/>
  <c r="C12" i="7"/>
  <c r="D9" i="7"/>
  <c r="C9" i="7"/>
  <c r="C6" i="7" s="1"/>
  <c r="D8" i="7"/>
  <c r="D6" i="7" s="1"/>
  <c r="C8" i="7"/>
  <c r="C64" i="6"/>
  <c r="C61" i="6"/>
  <c r="D57" i="6"/>
  <c r="C57" i="6"/>
  <c r="D54" i="6"/>
  <c r="C54" i="6"/>
  <c r="D53" i="6"/>
  <c r="C53" i="6"/>
  <c r="C49" i="6"/>
  <c r="D46" i="6"/>
  <c r="C46" i="6"/>
  <c r="D43" i="6"/>
  <c r="C43" i="6"/>
  <c r="D33" i="6"/>
  <c r="C33" i="6"/>
  <c r="D32" i="6"/>
  <c r="C32" i="6"/>
  <c r="C24" i="6"/>
  <c r="C21" i="6"/>
  <c r="C20" i="6"/>
  <c r="D19" i="6"/>
  <c r="C19" i="6"/>
  <c r="C18" i="6"/>
  <c r="C17" i="6" s="1"/>
  <c r="D17" i="6"/>
  <c r="D26" i="6" s="1"/>
  <c r="C16" i="6"/>
  <c r="C14" i="6"/>
  <c r="C12" i="6"/>
  <c r="C11" i="6"/>
  <c r="C9" i="6"/>
  <c r="D8" i="6"/>
  <c r="D14" i="7" l="1"/>
  <c r="D19" i="7" s="1"/>
  <c r="D24" i="7" s="1"/>
  <c r="D29" i="7" s="1"/>
  <c r="C10" i="7"/>
  <c r="C52" i="6"/>
  <c r="C40" i="6" s="1"/>
  <c r="C66" i="6" s="1"/>
  <c r="D52" i="6"/>
  <c r="C8" i="6"/>
  <c r="D41" i="6"/>
  <c r="C41" i="6"/>
  <c r="B42" i="9"/>
  <c r="B48" i="9" s="1"/>
  <c r="D40" i="6"/>
  <c r="D66" i="6" s="1"/>
  <c r="C79" i="6" s="1"/>
  <c r="D49" i="7"/>
  <c r="D50" i="7" s="1"/>
  <c r="D36" i="7"/>
  <c r="C26" i="6"/>
  <c r="C14" i="7"/>
  <c r="C19" i="7" s="1"/>
  <c r="C24" i="7" s="1"/>
  <c r="C29" i="7" s="1"/>
  <c r="H7" i="9"/>
  <c r="D43" i="7" l="1"/>
  <c r="D52" i="7" s="1"/>
  <c r="D53" i="7" s="1"/>
  <c r="D44" i="7"/>
  <c r="D70" i="7" s="1"/>
  <c r="C49" i="7"/>
  <c r="C50" i="7" s="1"/>
  <c r="C36" i="7"/>
  <c r="B79" i="6"/>
  <c r="B70" i="9"/>
  <c r="C44" i="7" l="1"/>
  <c r="C70" i="7" s="1"/>
  <c r="C43" i="7"/>
  <c r="C52" i="7" s="1"/>
  <c r="C53" i="7" s="1"/>
  <c r="C5" i="8"/>
  <c r="C23" i="8" s="1"/>
  <c r="C34" i="8" s="1"/>
  <c r="C37" i="8" s="1"/>
  <c r="E8" i="9"/>
  <c r="E10" i="9" l="1"/>
  <c r="H10" i="9" s="1"/>
  <c r="H16" i="9" s="1"/>
  <c r="H8" i="9"/>
  <c r="H13" i="9" s="1"/>
  <c r="H35" i="9" s="1"/>
  <c r="F8" i="9"/>
  <c r="E13" i="9"/>
  <c r="E35" i="9" s="1"/>
  <c r="E40" i="9" s="1"/>
  <c r="E43" i="9"/>
  <c r="B5" i="8"/>
  <c r="B23" i="8" s="1"/>
  <c r="B34" i="8" s="1"/>
  <c r="B37" i="8" s="1"/>
  <c r="B76" i="8" s="1"/>
  <c r="B80" i="8" s="1"/>
  <c r="E45" i="9" l="1"/>
  <c r="H45" i="9" s="1"/>
  <c r="H43" i="9"/>
  <c r="F43" i="9"/>
  <c r="F45" i="9" s="1"/>
  <c r="F40" i="9"/>
  <c r="F42" i="9" s="1"/>
  <c r="E42" i="9"/>
  <c r="H40" i="9"/>
  <c r="H42" i="9" s="1"/>
  <c r="F10" i="9"/>
  <c r="F13" i="9"/>
  <c r="F35" i="9" s="1"/>
  <c r="E48" i="9" l="1"/>
  <c r="F48" i="9"/>
  <c r="F70" i="9" s="1"/>
  <c r="E70" i="9"/>
  <c r="H48" i="9"/>
  <c r="H70" i="9" s="1"/>
  <c r="E64" i="5" l="1"/>
  <c r="H63" i="5"/>
  <c r="H62" i="5"/>
  <c r="H61" i="5"/>
  <c r="H60" i="5"/>
  <c r="H59" i="5"/>
  <c r="H58" i="5"/>
  <c r="H57" i="5"/>
  <c r="H56" i="5"/>
  <c r="H49" i="5"/>
  <c r="H48" i="5"/>
  <c r="H47" i="5"/>
  <c r="H46" i="5"/>
  <c r="G39" i="5"/>
  <c r="F39" i="5"/>
  <c r="H39" i="5" s="1"/>
  <c r="H37" i="5"/>
  <c r="F36" i="5"/>
  <c r="C36" i="5"/>
  <c r="C42" i="5" s="1"/>
  <c r="C64" i="5" s="1"/>
  <c r="B36" i="5"/>
  <c r="B42" i="5" s="1"/>
  <c r="H34" i="5"/>
  <c r="H36" i="5" s="1"/>
  <c r="G34" i="5"/>
  <c r="G36" i="5" s="1"/>
  <c r="G42" i="5" s="1"/>
  <c r="G64" i="5" s="1"/>
  <c r="E33" i="5"/>
  <c r="F30" i="5"/>
  <c r="C30" i="5"/>
  <c r="B30" i="5"/>
  <c r="H29" i="5"/>
  <c r="H28" i="5"/>
  <c r="H27" i="5"/>
  <c r="H26" i="5"/>
  <c r="H25" i="5"/>
  <c r="H24" i="5"/>
  <c r="H23" i="5"/>
  <c r="G12" i="5"/>
  <c r="G30" i="5" s="1"/>
  <c r="F12" i="5"/>
  <c r="H9" i="5"/>
  <c r="H8" i="5"/>
  <c r="H7" i="5"/>
  <c r="H6" i="5"/>
  <c r="H12" i="5" s="1"/>
  <c r="H5" i="5"/>
  <c r="H4" i="5"/>
  <c r="C78" i="4"/>
  <c r="B75" i="4" s="1"/>
  <c r="C73" i="4"/>
  <c r="B68" i="4"/>
  <c r="B73" i="4" s="1"/>
  <c r="B63" i="4"/>
  <c r="C57" i="4"/>
  <c r="B57" i="4"/>
  <c r="C41" i="4"/>
  <c r="B41" i="4"/>
  <c r="B34" i="4"/>
  <c r="B30" i="4"/>
  <c r="B6" i="4"/>
  <c r="D37" i="3"/>
  <c r="C37" i="3"/>
  <c r="D25" i="3"/>
  <c r="C25" i="3"/>
  <c r="D13" i="3"/>
  <c r="D18" i="3" s="1"/>
  <c r="D23" i="3" s="1"/>
  <c r="D28" i="3" s="1"/>
  <c r="C13" i="3"/>
  <c r="C18" i="3" s="1"/>
  <c r="C23" i="3" s="1"/>
  <c r="C28" i="3" s="1"/>
  <c r="D9" i="3"/>
  <c r="C9" i="3"/>
  <c r="D5" i="3"/>
  <c r="C5" i="3"/>
  <c r="D60" i="2"/>
  <c r="C60" i="2"/>
  <c r="D57" i="2"/>
  <c r="C57" i="2"/>
  <c r="D53" i="2"/>
  <c r="D43" i="2"/>
  <c r="D41" i="2" s="1"/>
  <c r="C41" i="2"/>
  <c r="D32" i="2"/>
  <c r="C32" i="2"/>
  <c r="D31" i="2"/>
  <c r="C31" i="2"/>
  <c r="D20" i="2"/>
  <c r="D18" i="2"/>
  <c r="C18" i="2"/>
  <c r="D9" i="2"/>
  <c r="C9" i="2"/>
  <c r="C52" i="2" l="1"/>
  <c r="C40" i="2" s="1"/>
  <c r="C66" i="2" s="1"/>
  <c r="C27" i="2"/>
  <c r="D52" i="2"/>
  <c r="D40" i="2" s="1"/>
  <c r="D66" i="2" s="1"/>
  <c r="D27" i="2"/>
  <c r="H30" i="5"/>
  <c r="F42" i="5"/>
  <c r="F64" i="5" s="1"/>
  <c r="D33" i="3"/>
  <c r="D32" i="3"/>
  <c r="B64" i="5"/>
  <c r="H42" i="5"/>
  <c r="H64" i="5" s="1"/>
  <c r="C33" i="3"/>
  <c r="C32" i="3"/>
  <c r="C38" i="3" l="1"/>
  <c r="C44" i="3" s="1"/>
  <c r="C39" i="3"/>
  <c r="D39" i="3"/>
  <c r="D38" i="3"/>
  <c r="D64" i="3" l="1"/>
  <c r="D65" i="3" s="1"/>
  <c r="D44" i="3"/>
  <c r="D45" i="3" s="1"/>
  <c r="D47" i="3" s="1"/>
  <c r="D48" i="3" s="1"/>
  <c r="C5" i="4"/>
  <c r="C24" i="4" s="1"/>
  <c r="C35" i="4" s="1"/>
  <c r="C38" i="4" s="1"/>
  <c r="C64" i="3"/>
  <c r="C65" i="3" s="1"/>
  <c r="B5" i="4"/>
  <c r="B24" i="4" s="1"/>
  <c r="B35" i="4" s="1"/>
  <c r="B38" i="4" s="1"/>
  <c r="B74" i="4" s="1"/>
  <c r="B78" i="4" s="1"/>
  <c r="C45" i="3"/>
  <c r="C48" i="3"/>
  <c r="C47" i="3"/>
</calcChain>
</file>

<file path=xl/sharedStrings.xml><?xml version="1.0" encoding="utf-8"?>
<sst xmlns="http://schemas.openxmlformats.org/spreadsheetml/2006/main" count="1234" uniqueCount="290">
  <si>
    <t xml:space="preserve">SKONSOLIDOWANE  SPRAWOZDANIE FINANSOWE  GRUPY KAPITAŁOWEJ AILLERON SA 
ZA  2020 ROK ZAKOŃCZONY 31/12/2020
</t>
  </si>
  <si>
    <t>SPORZĄDZONE WEDŁUG
MIĘDZYNARODOWYCH STANDARDÓW SPRAWOZDAWCZOŚCI FINANSOWEJ</t>
  </si>
  <si>
    <t>WSZYSTKIE KWOTY PODANO W TYSIĄCACH ZŁOTYCH POLSKICH (TYS. PLN), O ILE NIE WSKAZANO INACZEJ</t>
  </si>
  <si>
    <t>SKONSOLIDOWANE SPRAWOZDANIE Z SYTUACJI FINANSOWEJ NA DZIEŃ 31.12.2020 ROKU</t>
  </si>
  <si>
    <t>AKTYWA</t>
  </si>
  <si>
    <t>nota</t>
  </si>
  <si>
    <t>tys. PLN</t>
  </si>
  <si>
    <t>Stan na 31/12/2020</t>
  </si>
  <si>
    <t>Stan na 31/12/2019</t>
  </si>
  <si>
    <t xml:space="preserve">AKTYWA TRWAŁE </t>
  </si>
  <si>
    <t>Rzeczowe aktywa trwałe</t>
  </si>
  <si>
    <t>Nieruchomości inwestycyjne</t>
  </si>
  <si>
    <t>Wartość firmy</t>
  </si>
  <si>
    <t>Pozostałe aktywa niematerialne</t>
  </si>
  <si>
    <t>Inwestycje w jednostkach zależnych</t>
  </si>
  <si>
    <t>Aktywa z tytułu podatku odroczonego</t>
  </si>
  <si>
    <t>Pozostałe aktywa finansowe</t>
  </si>
  <si>
    <t>Pozostałe aktywa</t>
  </si>
  <si>
    <t>AKTYWA OBROTOWE</t>
  </si>
  <si>
    <t>Zapasy</t>
  </si>
  <si>
    <t>Należności z tytułu dostaw i usług oraz pozostałe należności</t>
  </si>
  <si>
    <t>Aktywa kontraktowe</t>
  </si>
  <si>
    <t>Należności z tytułu innych podatków niż podatek dochodowy</t>
  </si>
  <si>
    <t xml:space="preserve">Pozostałe aktywa </t>
  </si>
  <si>
    <t>Środki pieniężne i ich ekwiwalenty</t>
  </si>
  <si>
    <t>Aktywa klasyfikowane jako przeznaczone do zbycia</t>
  </si>
  <si>
    <t>AKTYWA RAZEM</t>
  </si>
  <si>
    <t>SKONSOLIDOWANE SPRAWOZDANIE Z SYTUACJI FINANSOWEJ NA DZIEŃ 31.12.2020 ROKU - [C.D.]</t>
  </si>
  <si>
    <t>PASYWA</t>
  </si>
  <si>
    <t>KAPITAŁ WŁASNY</t>
  </si>
  <si>
    <t>Kapitał akcyjny</t>
  </si>
  <si>
    <t>Nadwyżka ze sprzedaży akcji</t>
  </si>
  <si>
    <t>Zyski zatrzymane</t>
  </si>
  <si>
    <t>Wynik wycen odnoszonych bezpośrednio poprzez kapitał własny</t>
  </si>
  <si>
    <t xml:space="preserve">Kwoty ujęte bezpośrednio w kapitale, związane z aktywami klasyfikowanymi jako przeznaczone do zbycia, </t>
  </si>
  <si>
    <t>Różnice kursowe z przeliczenia jednostek zagranicznych</t>
  </si>
  <si>
    <t>Kapitały przypadajace na jednostki zalezne dające współkontrole nad spółką</t>
  </si>
  <si>
    <r>
      <t>ZOBOWIĄZANIA</t>
    </r>
    <r>
      <rPr>
        <sz val="10"/>
        <rFont val="Lato Light"/>
        <family val="2"/>
        <charset val="238"/>
      </rPr>
      <t xml:space="preserve"> </t>
    </r>
  </si>
  <si>
    <t>Zobowiązania długoterminowe</t>
  </si>
  <si>
    <t xml:space="preserve">Długoterminowe zobowiązania z tyt. obligacji  </t>
  </si>
  <si>
    <t>Długoterminowe zobowiązania leasingowe</t>
  </si>
  <si>
    <t>25</t>
  </si>
  <si>
    <t>Długoterminowe zobowiązania finansowe z tyt kredytów</t>
  </si>
  <si>
    <t>Pozostałe zobowiązania długoterminowe</t>
  </si>
  <si>
    <t>Rezerwa na świadczenia emerytalne i podobne</t>
  </si>
  <si>
    <t>Rezerwy z tytułu napraw gwarancyjnych</t>
  </si>
  <si>
    <t>Rezerwy z tytułu opcji na akcje</t>
  </si>
  <si>
    <t>Rezerwa z tytułu odroczonego podatku dochodowego</t>
  </si>
  <si>
    <t>Pozostałe rezerwy długoterminowe</t>
  </si>
  <si>
    <t>Przychody przyszłych okresów</t>
  </si>
  <si>
    <t>Zobowiązania krótkoterminowe</t>
  </si>
  <si>
    <t>Zobowiązania z tytułu dostaw i usług oraz pozostałe zobowiązania</t>
  </si>
  <si>
    <t>Zobowiązania kontraktowe</t>
  </si>
  <si>
    <t>Krótkoterminowe zobowiązania z tyt. otrzymanych kredytów</t>
  </si>
  <si>
    <t>Krótkoterminowe zobowiązania z tyt. Obligacji</t>
  </si>
  <si>
    <t>Krótkoterminowe zobowiązania leasingowe</t>
  </si>
  <si>
    <t>Pozostałe krótkoterminowe zobowiązania finansowe</t>
  </si>
  <si>
    <t>Zobowiązania z tytułu bieżącego podatku dochodowego</t>
  </si>
  <si>
    <t>Zobowiązania z tytułu innych podatków niż podatek dochodowy</t>
  </si>
  <si>
    <t>Rezerwy na świadczenia emerytalne i podobne</t>
  </si>
  <si>
    <t>Rezerwy krótkoterminowe</t>
  </si>
  <si>
    <t>Pozostałe zobowiązania</t>
  </si>
  <si>
    <t>Zobowiązania związane z aktywami trwałymi zaklasyfikowanymi jako przeznaczone do sprzedaży</t>
  </si>
  <si>
    <t>PASYWA RAZEM</t>
  </si>
  <si>
    <t>Kraków,  29 kwietnia 2021 r.</t>
  </si>
  <si>
    <t>SKONSOLIDOWANE SPRAWOZDANIE W WYNIKU ORAZ POZOSTAŁYCH CAŁKOWITYCH DOCHODÓW ZA OKRES 01.01.2020 - 31.12.2020</t>
  </si>
  <si>
    <t>SKONSOLIDOWANY RACHUNEK ZYSKÓW I STRAT                                          (Wariant kalkulacyjny)</t>
  </si>
  <si>
    <t>tys.PLN</t>
  </si>
  <si>
    <t>Okres 
zakończony 
31/12/2020</t>
  </si>
  <si>
    <t>Okres 
zakończony 31/12/2019</t>
  </si>
  <si>
    <t>Działalność kontynuowana</t>
  </si>
  <si>
    <t>PRZYCHODY ZE SPRZEDAŻY</t>
  </si>
  <si>
    <t>5, 6</t>
  </si>
  <si>
    <t>Przychody ze sprzedaży wyrobów</t>
  </si>
  <si>
    <t xml:space="preserve">Przychody ze sprzedaży usług </t>
  </si>
  <si>
    <t>Przychody ze sprzedaży towarów i materiałów</t>
  </si>
  <si>
    <t>Koszt własny sprzedaży  (koszt sprzedanych produktów, usług, towarów i materiałów)</t>
  </si>
  <si>
    <t>Koszt wytworzenia sprzedanych wyrobów</t>
  </si>
  <si>
    <t>Koszt sprzedanych usług</t>
  </si>
  <si>
    <t>Koszt sprzedanych towarów i materiałów</t>
  </si>
  <si>
    <t>ZYSK (STRATA) BRUTTO ZE SPRZEDAŻY</t>
  </si>
  <si>
    <t>Koszty sprzedaży</t>
  </si>
  <si>
    <t>Koszty ogólnego zarządu</t>
  </si>
  <si>
    <t>Pozostałe przychody operacyjne</t>
  </si>
  <si>
    <t>Pozostałe koszty operacyjne</t>
  </si>
  <si>
    <t>ZYSK (STRATA) NA DZIAŁALNOŚCI OPERACYJNEJ</t>
  </si>
  <si>
    <t>Przychody finansowe</t>
  </si>
  <si>
    <t>Koszty finansowe</t>
  </si>
  <si>
    <t>Udział w zyskach jednostek stowarzyszonych</t>
  </si>
  <si>
    <t>Zysk ze sprzedaży udziałów w jednostce stowarzyszonej</t>
  </si>
  <si>
    <t>Zysk (strata) przed opodatkowaniem</t>
  </si>
  <si>
    <t>Podatek dochodowy</t>
  </si>
  <si>
    <t>Część bieżąca</t>
  </si>
  <si>
    <t>Część odroczona</t>
  </si>
  <si>
    <t>Zysk (strata) netto z działalności  kontynuowanej</t>
  </si>
  <si>
    <t>Działalność zaniechana</t>
  </si>
  <si>
    <t>Zysk (strata) netto z działalności zaniechanej</t>
  </si>
  <si>
    <t>Całkowite dochody ogółem</t>
  </si>
  <si>
    <t>ZYSK (STRATA) NETTO</t>
  </si>
  <si>
    <t>SKONSOLIDOWANY RACHUNEK ZYSKÓW I STRAT ORAZ SPRAWOZDANIE Z POZOSTAŁYCH CAŁKOWITYCH DOCHODÓW ZA OKRES 01.01.2020 - 31.12.2020 - [C.D.]</t>
  </si>
  <si>
    <t>Zysk (strata) netto, z tego przypadający:</t>
  </si>
  <si>
    <t>Akcjonariuszom podmiotu dominującego</t>
  </si>
  <si>
    <t>Akcjonariuszom mniejszościowym</t>
  </si>
  <si>
    <t>Zysk (strata) netto na jedną akcję zwykłą</t>
  </si>
  <si>
    <t>(w zł/gr na jedną akcję):</t>
  </si>
  <si>
    <t>z działalności kontynuowanej:</t>
  </si>
  <si>
    <t>- podstawowy</t>
  </si>
  <si>
    <t>- rozwodniony</t>
  </si>
  <si>
    <t>z działalności kontynuowanej i zaniechanej:</t>
  </si>
  <si>
    <t>POZOSTAŁE CAŁKOWITE DOCHODY NETTO</t>
  </si>
  <si>
    <t>Składniki, które nie zostaną przeniesione w późniejszych okresach do rachunku zysków i strat:</t>
  </si>
  <si>
    <t>Skutki przeszacowania aktywów trwałych</t>
  </si>
  <si>
    <t>- </t>
  </si>
  <si>
    <t xml:space="preserve">Udział w skutkach przeszacowania aktywów trwałych jednostek stowarzyszonych </t>
  </si>
  <si>
    <t xml:space="preserve">Przeszacowanie zobowiązań z tytułu świadczeń pracowniczych </t>
  </si>
  <si>
    <t xml:space="preserve">Inne </t>
  </si>
  <si>
    <t>Składniki, które mogą zostać przeniesione w późniejszych okresach do rachunku zysków i strat:</t>
  </si>
  <si>
    <t xml:space="preserve">Różnice kursowe z przeliczenia jednostek zagranicznych </t>
  </si>
  <si>
    <t xml:space="preserve">                    -   </t>
  </si>
  <si>
    <t xml:space="preserve">Skutki przeszacowania aktywów finansowych dostępnych do sprzedaży </t>
  </si>
  <si>
    <t xml:space="preserve">Efektywną część zysków i strat związanych z instrumentem zabezpieczającym w ramach zabezpieczenia przepływów pieniężnych </t>
  </si>
  <si>
    <t>-</t>
  </si>
  <si>
    <t xml:space="preserve">Pozostałe całkowite dochody netto razem </t>
  </si>
  <si>
    <t>SUMA CAŁKOWITYCH DOCHODÓW</t>
  </si>
  <si>
    <t>przypadających akcjonariuszom jednostki dominującej</t>
  </si>
  <si>
    <t>przypadających udziałom niedającym kontroli</t>
  </si>
  <si>
    <t>Kraków, 29 kwietnia 2021 r.</t>
  </si>
  <si>
    <t>SKONSOLIDOWANE SPRAWOZDANIE Z PRZEPŁYWÓW PIENIĘŻNYCH 
ZA OKRES OD 1 STYCZNIA 2019 DO 31 GRUDNIA 2020 [METODA POŚREDNIA]</t>
  </si>
  <si>
    <t>Okres 
zakończony 31/12/2020</t>
  </si>
  <si>
    <t>Przepływy pieniężne z działalności operacyjnej</t>
  </si>
  <si>
    <t>Zysk za rok obrotowy</t>
  </si>
  <si>
    <t>Korekty: Koszt podatku dochodowego ujęty w wyniku</t>
  </si>
  <si>
    <t>Udział w zysku jednostek stowarzyszonych</t>
  </si>
  <si>
    <t>Koszty finansowe ujęte w wyniku</t>
  </si>
  <si>
    <t>Przychody z inwestycji ujęte w wyniku</t>
  </si>
  <si>
    <t>Zysk ze zbycia składników rzeczowych aktywów trwałych</t>
  </si>
  <si>
    <t>Zysk/strata z tytułu likwidacji środków trwałych</t>
  </si>
  <si>
    <t>(Zysk) / strata netto z wyceny aktywów finansowych przeznaczonych do obrotu</t>
  </si>
  <si>
    <t>Zysk/strata z tytułu zmiany przeznaczenia środków trwałych</t>
  </si>
  <si>
    <t>Zysk/strata ze zbycia jednostki zależnej</t>
  </si>
  <si>
    <t>(Zysk) / strata netto z wyceny zobowiązań finansowych wycenianych w skorygowanej cenie nabycia</t>
  </si>
  <si>
    <t xml:space="preserve">Korekta konsolidacyjna wartości aktywów finansowych </t>
  </si>
  <si>
    <t>Zysk/strata z tytułu zwrotu wartości inwestycji długoterminowych</t>
  </si>
  <si>
    <t>Strata z tytułu utraty wartości należności z tytułu dostaw i usług</t>
  </si>
  <si>
    <t>Odwrócenie odpisu z tytułu utraty wartości należności z tytułu dostaw i usług</t>
  </si>
  <si>
    <t>Amortyzacja i umorzenie aktywów trwałych</t>
  </si>
  <si>
    <t>Utrata wartości aktywów trwałych</t>
  </si>
  <si>
    <t>(Dodatnie) / ujemne różnice kursowe netto</t>
  </si>
  <si>
    <t>Korekta z połączenia jednostki zależnej</t>
  </si>
  <si>
    <t>Zmiany w kapitale obrotowym:</t>
  </si>
  <si>
    <t>(Zwiększenie) / zmniejszenie salda należności z tytułu dostaw i usług oraz pozostałych należności</t>
  </si>
  <si>
    <t>(Zwiększenie) / zmniejszenie aktywów kontraktowych</t>
  </si>
  <si>
    <t>(Zwiększenie) / zmniejszenie stanu zapasów</t>
  </si>
  <si>
    <t>(Zwiększenie) / zmniejszenie pozostałych aktywów</t>
  </si>
  <si>
    <t>Zmniejszenie salda zobowiązań z tytułu dostaw i usług oraz pozostałych zobowiązań pod</t>
  </si>
  <si>
    <t>Zmniejszenie salda zobowiązań kontraktowych</t>
  </si>
  <si>
    <t>Zwiększenie / (zmniejszenie) rezerw</t>
  </si>
  <si>
    <t>Zwiększenie / (zmniejszenie) przychodów przyszłych okresów</t>
  </si>
  <si>
    <t>Zwiększenie / (zmniejszenie) pozostałych zobowiązań</t>
  </si>
  <si>
    <t>Środki pieniężne wygenerowane na działalności operacyjnej</t>
  </si>
  <si>
    <t>Zapłacone odsetki i różnice kursowe</t>
  </si>
  <si>
    <t>Zapłacony podatek dochodowy</t>
  </si>
  <si>
    <t>ŚRODKI PIENIĘŻNE NETTO Z DZIAŁALNOŚCI OPERACYJNEJ</t>
  </si>
  <si>
    <t>SKONSOLIDOWANE SPRAWOZDANIE Z PRZEPŁYWÓW PIENIĘŻNYCH 
ZA OKRES OD 1 STYCZNIA 2019 DO 31 GRUDNIA 2020 [METODA POŚREDNIA] - [C.D.]</t>
  </si>
  <si>
    <t>Przepływy pieniężne z działalności inwestycyjnej</t>
  </si>
  <si>
    <t>Płatności z tytułu nabycia aktywów finansowych</t>
  </si>
  <si>
    <t>Otrzymane odsetki od jedn. powiązanych</t>
  </si>
  <si>
    <t>Pożyczki otrzymane od jednostek powiązanych</t>
  </si>
  <si>
    <t>Pożyczki spłacone od jednostek powiązanych</t>
  </si>
  <si>
    <t>Pożyczki udzielone jednostkom powiązanym</t>
  </si>
  <si>
    <t>Pożyczki zwrócone jednostkom powiązanym</t>
  </si>
  <si>
    <t>Spłata pożyczek wraz z odsetkami od pozostałych jednostek</t>
  </si>
  <si>
    <t>Pożyczki udzielone pozostałym podmiotom</t>
  </si>
  <si>
    <t>Płatności za rzeczowe aktywa trwałe</t>
  </si>
  <si>
    <t>Wpływy z tytułu zbycia składników rzeczowych aktywów trwałych</t>
  </si>
  <si>
    <t>Płatności za aktywa niematerialne</t>
  </si>
  <si>
    <t>Wydatki netto z tytułu przejęcia jednostek zależnych</t>
  </si>
  <si>
    <t>Inne wpływy/wydatki inwestycyjne</t>
  </si>
  <si>
    <t>Wpływy netto z tytułu przejęcia jednostki zależnej</t>
  </si>
  <si>
    <t>ŚRODKI PIENIĘŻNE NETTO (WYDANE) / WYGENEROWANE                                    W ZWIĄZKU Z DZIAŁALNOŚCIĄ INWESTYCYJNĄ</t>
  </si>
  <si>
    <t>Przepływy pieniężne z działalności finansowej</t>
  </si>
  <si>
    <t>Wpływy z tytułu emisji własnych akcji</t>
  </si>
  <si>
    <t xml:space="preserve">Wpływy z tytułu emisji obligacji </t>
  </si>
  <si>
    <t xml:space="preserve">Płatności z tytułu kosztów emisji akcji </t>
  </si>
  <si>
    <t>Spłata odsetek od obligacji</t>
  </si>
  <si>
    <t>Spłata rat kredytowych</t>
  </si>
  <si>
    <t>Spłata odsetek od kredytu</t>
  </si>
  <si>
    <t>Płatności z tytułu wykupu obligacji</t>
  </si>
  <si>
    <t>Spłata pożyczki</t>
  </si>
  <si>
    <t>Zaciągnięcie kredytu długoterminowego</t>
  </si>
  <si>
    <t>Wpływy z pożyczek</t>
  </si>
  <si>
    <t>Wpływy ze spłaty udzielonych pożyczek</t>
  </si>
  <si>
    <t>Dywidendy wypłacone na rzecz właścicieli</t>
  </si>
  <si>
    <t>Spłata zadłużenia z tyt. umów leasingu (leasing, odsetki, pozostałe)</t>
  </si>
  <si>
    <t>ŚRODKI PIENIĘŻNE NETTO WYKORZYSTANE W DZIAŁALNOŚCI FINANSOWEJ</t>
  </si>
  <si>
    <t>Zwiększenie netto środków pieniężnych i ich ekwiwalentów</t>
  </si>
  <si>
    <t>Środki pieniężne i ich ekwiwalenty na początek okresu sprawozdawczego</t>
  </si>
  <si>
    <t>Wpływ zmian kursów walut na saldo środków pieniężnych w walutach obcych</t>
  </si>
  <si>
    <t>Wpływ odsetek z tyt. środków pieniężnych naliczonych do dnia bilansowego</t>
  </si>
  <si>
    <t>ŚRODKI PIENIĘŻNE I ICH EKWIWALENTY NA KONIEC OKRESU SPRAWOZDAWCZEGO</t>
  </si>
  <si>
    <t>SKONSOLIDOWANE SPRAWOZDANIE ZE ZMIAN W KAPITALE WŁASNYM ZA OKRES SPRAWOZDAWCZY KOŃCZĄCY SIĘ 31 GRUDNIA 2020 ROKU</t>
  </si>
  <si>
    <t>Kapitał podstawowy</t>
  </si>
  <si>
    <t>Nadwyżka 
ze sprzedaży akcji</t>
  </si>
  <si>
    <t>Kapitał rezerwowy ogółem</t>
  </si>
  <si>
    <t>Różnice kuroswe z przeliczenia jednostek zależnych</t>
  </si>
  <si>
    <t>Przypadające akcjonariuszom jednostki dominującej</t>
  </si>
  <si>
    <t>Razem</t>
  </si>
  <si>
    <t>Stan na 1 stycznia 2019 roku (z poprzedniego sprawozdania)</t>
  </si>
  <si>
    <t xml:space="preserve">                -   </t>
  </si>
  <si>
    <t xml:space="preserve">Przekształcenia      </t>
  </si>
  <si>
    <t xml:space="preserve">- </t>
  </si>
  <si>
    <t xml:space="preserve">-  </t>
  </si>
  <si>
    <t xml:space="preserve"> -   </t>
  </si>
  <si>
    <t>Stan na 1 stycznia 2019 roku (po przekształceniach)</t>
  </si>
  <si>
    <t>Zysk netto za rok obrotowy</t>
  </si>
  <si>
    <t>Pozostałe całkowite dochody za rok obrotowy (netto)</t>
  </si>
  <si>
    <t>Suma całkowitych dochodów</t>
  </si>
  <si>
    <t>Ujęcie płatności dokonywanych na bazie akcji</t>
  </si>
  <si>
    <t xml:space="preserve">-    </t>
  </si>
  <si>
    <t xml:space="preserve"> -</t>
  </si>
  <si>
    <t>Wypłata dywidendy</t>
  </si>
  <si>
    <t>Stan na 31 grudnia 2019 roku</t>
  </si>
  <si>
    <t xml:space="preserve">            -   </t>
  </si>
  <si>
    <t xml:space="preserve">                  -</t>
  </si>
  <si>
    <t>Emisja akcji zwykłych</t>
  </si>
  <si>
    <t>Rozwiązanie kapitału rezerwowego na plan opcyjny</t>
  </si>
  <si>
    <t>Emisja akcji zwykłych z tytułu świadczonych usług doradczych</t>
  </si>
  <si>
    <t>Emisja zamiennych akcji preferencyjnych bez prawa do głosu</t>
  </si>
  <si>
    <t>Emisja obligacji zamiennych</t>
  </si>
  <si>
    <t>Koszty emisji akcji</t>
  </si>
  <si>
    <t>Odkup akcji zwykłych</t>
  </si>
  <si>
    <t>Koszty odkupu akcji zwykłych</t>
  </si>
  <si>
    <t>Emisja akcji powyżej ceny nominalnej</t>
  </si>
  <si>
    <t>Przeniesienie straty do pokrycia z zysków lat kolejnych</t>
  </si>
  <si>
    <t>Z podziału zysku</t>
  </si>
  <si>
    <t>Przeniesienie na kapitał zapasowy</t>
  </si>
  <si>
    <t>Pokrycie strat z lat poprzednich</t>
  </si>
  <si>
    <t xml:space="preserve">Zysk dot. lat poprzednich jako skutek przejścia na MSSF </t>
  </si>
  <si>
    <t>Podatek dochodowy związany z transakcjami z właścicielami</t>
  </si>
  <si>
    <t>Stan na 31 grudnia  2019 roku</t>
  </si>
  <si>
    <t xml:space="preserve">                    -  </t>
  </si>
  <si>
    <t>Stan na 1 stycznia 2020 roku (z poprzedniego sprawozdania)</t>
  </si>
  <si>
    <t>Stan na 1 stycznia 2020 roku (po przekształceniach)</t>
  </si>
  <si>
    <t>Stan na 31 grudnia 2020 roku</t>
  </si>
  <si>
    <t>Ujęcie rozliczenia  związane z pierwszą konsolidacją spółek w USA</t>
  </si>
  <si>
    <t>Pokrycie z zysków lat poprzednich</t>
  </si>
  <si>
    <t>Zysk dot. lat poprzednich jako skutek przejścia na MSSF</t>
  </si>
  <si>
    <t>Stan na 31 grudnia  2020 roku</t>
  </si>
  <si>
    <t xml:space="preserve">JEDNOSTKOWE  SPRAWOZDANIE FINANSOWE  AILLERON SA 
ZA  2020 ROK ZAKOŃCZONY 31/12/2020
</t>
  </si>
  <si>
    <t>JEDNOSTKOWE SPRAWOZDANIE Z SYTUACJI FINANSOWEJ NA DZIEŃ 31.12.2020 ROKU</t>
  </si>
  <si>
    <t>Grupa aktywów przeznaczonych do zbycia</t>
  </si>
  <si>
    <t>JEDNOSTKOWE SPRAWOZDANIE Z SYTUACJI FINANSOWEJ NA DZIEŃ 31.12.2020 ROKU -C.D.</t>
  </si>
  <si>
    <t>Kwoty ujęte bezpośrednio w kapitale, związane z aktywami klasyfikowanymi jako przeznaczone do zbycia</t>
  </si>
  <si>
    <t xml:space="preserve">Długoterminowe zobowiązania z tyt. obligacji </t>
  </si>
  <si>
    <t>27</t>
  </si>
  <si>
    <t xml:space="preserve">Krótkoterminowe zobowiązania z tyt. obligacji  </t>
  </si>
  <si>
    <t>Zobowiązania związane z grupą aktywów przeznaczonych do zbycia</t>
  </si>
  <si>
    <t>JEDNOSTKOWY RACHUNEK ZYSKÓW I STRAT ORAZ SPRAWOZDANIE Z POZOSTAŁYCH CAŁKOWITYCH DOCHODÓW ZA OKRES 01.01.2020 - 31.12.2020</t>
  </si>
  <si>
    <t>JEDNOSTKOWY RACHUNEK ZYSKÓW I STRAT                                          (Wariant kalkulacyjny)</t>
  </si>
  <si>
    <t>Okres zakończony 31/12/2020</t>
  </si>
  <si>
    <t>Okres zakończony 31/12/2019</t>
  </si>
  <si>
    <t>Przychody ze sprzedaży</t>
  </si>
  <si>
    <t>Koszty operacyjne ogółem</t>
  </si>
  <si>
    <t>Zysk (strata) z działalności operacyjnej</t>
  </si>
  <si>
    <t>ZYSK (STRATA) NETTO RAZEM</t>
  </si>
  <si>
    <t>JEDNOSTKOWY RACHUNEK ZYSKÓW I STRAT ORAZ SPRAWOZDANIE Z POZOSTAŁYCH CAŁKOWITYCH DOCHODÓW ZA OKRES 01.01.2020 - 31.12.2020 - C.D.</t>
  </si>
  <si>
    <t>Zysk (strata) netto:</t>
  </si>
  <si>
    <t>Kraków, 29 kwietnia 2021r.</t>
  </si>
  <si>
    <t>JEDNOSTKOWE SPRAWOZDANIE Z PRZEPŁYWÓW PIENIĘŻNYCH                                               ZA OKRES OD 1 STYCZNIA 2020 DO 31 GRUDNIA 2020
[METODA POŚREDNIA]</t>
  </si>
  <si>
    <t>(Zysk)/strata ze zbycia jednostki zależnej</t>
  </si>
  <si>
    <t xml:space="preserve">Zmniejszenie salda zobowiązań z tytułu dostaw i usług oraz pozostałych zobowiązań </t>
  </si>
  <si>
    <t>Zapłacone odsetki</t>
  </si>
  <si>
    <t>JEDNOSTKOWE SPRAWOZDANIE Z PRZEPŁYWÓW PIENIĘŻNYCH                                              ZA OKRES OD 1 STYCZNIA 2020 DO 31 GRUDNIA 2020                                           [METODA POŚREDNIA] - C.D.</t>
  </si>
  <si>
    <t>Spłata pożyczek wraz z odsetkami od jednostek pozostałych</t>
  </si>
  <si>
    <t>Pożyczki spłacone do jednostek powiązanych</t>
  </si>
  <si>
    <t>Wpływy netto z tytułu sprzedaży jednostek zależnych</t>
  </si>
  <si>
    <t>Inne wpływy/ wydatki inwestycyjne</t>
  </si>
  <si>
    <t>ŚRODKI PIENIĘŻNE NETTO (WYDANE) / WYGENEROWANE                                               W ZWIĄZKU Z DZIAŁALNOŚCIĄ INWESTYCYJNĄ</t>
  </si>
  <si>
    <t>Spłata pożyczki od jedn. powiązanej</t>
  </si>
  <si>
    <t>Spłata odsetek od pożyczek otrzymanych od jednostek zależnych</t>
  </si>
  <si>
    <t>Zaciągnięcie kredytu krótkoterminowego</t>
  </si>
  <si>
    <t>Zaciągniecie kredytu od jednostek powiązanych</t>
  </si>
  <si>
    <t xml:space="preserve">Kraków, 29 kwietnia 2021 r. </t>
  </si>
  <si>
    <t>JEDNOSTKOWE SPRAWOZDANIE ZE ZMIAN W KAPITALE WŁASNYM ZA OKRES SPRAWOZDAWCZY KOŃCZĄCY SIĘ 31 GRUDNIA 2020 ROKU</t>
  </si>
  <si>
    <t>Przypadające udziałom niedającym kontroli</t>
  </si>
  <si>
    <t xml:space="preserve">-   </t>
  </si>
  <si>
    <t>Emisja akcji zwykłych w ramach planu pracowniczych opcji na akcje</t>
  </si>
  <si>
    <t>Przeniesienie do zysków zatrzymanych</t>
  </si>
  <si>
    <t>Przeneisienie na rozrachunki z tyt. Dywidendy</t>
  </si>
  <si>
    <t>Zysk. dot. lat poprzednich jako skutek przejścia na MSSF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</si>
</sst>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#,&quot;  &quot;;\-\ #,###,&quot;  &quot;;_-* &quot;- &quot;\ _-;_-@_-"/>
    <numFmt numFmtId="165" formatCode="\-"/>
    <numFmt numFmtId="166" formatCode="_-* #,##0\ _z_ł_-;\-* #,##0\ _z_ł_-;_-* &quot;-&quot;??\ _z_ł_-;_-@_-"/>
    <numFmt numFmtId="167" formatCode="_-* #,##0.00\ _z_ł_-;\-* #,##0.00\ _z_ł_-;_-* &quot;-&quot;??\ _z_ł_-;_-@_-"/>
    <numFmt numFmtId="168" formatCode="_-* #,##0\ _z_ł_-;\-* #,##0\ _z_ł_-;_-* &quot;-&quot;\ _z_ł_-;_-@_-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rgb="FFE73E2A"/>
      <name val="Lato Light"/>
      <family val="2"/>
      <charset val="238"/>
    </font>
    <font>
      <sz val="11"/>
      <color theme="1"/>
      <name val="Lato Light"/>
      <family val="2"/>
      <charset val="238"/>
    </font>
    <font>
      <sz val="8"/>
      <color rgb="FFE73E2A"/>
      <name val="Lato Light"/>
      <family val="2"/>
      <charset val="238"/>
    </font>
    <font>
      <sz val="7"/>
      <color rgb="FFE73E2A"/>
      <name val="Lato Light"/>
      <family val="2"/>
      <charset val="238"/>
    </font>
    <font>
      <sz val="11"/>
      <color rgb="FFE73E2A"/>
      <name val="Lato Light"/>
      <family val="2"/>
      <charset val="238"/>
    </font>
    <font>
      <sz val="9"/>
      <color theme="1"/>
      <name val="Lato Light"/>
      <family val="2"/>
      <charset val="238"/>
    </font>
    <font>
      <sz val="9"/>
      <name val="Lato Light"/>
      <family val="2"/>
      <charset val="238"/>
    </font>
    <font>
      <sz val="11"/>
      <color rgb="FFFFFF00"/>
      <name val="Calibri"/>
      <family val="2"/>
      <charset val="238"/>
      <scheme val="minor"/>
    </font>
    <font>
      <sz val="9"/>
      <color rgb="FFE73E2A"/>
      <name val="Lato Light"/>
      <family val="2"/>
      <charset val="238"/>
    </font>
    <font>
      <sz val="10"/>
      <name val="Lato Light"/>
      <family val="2"/>
      <charset val="238"/>
    </font>
    <font>
      <sz val="10"/>
      <color theme="1"/>
      <name val="Lato Light"/>
      <family val="2"/>
      <charset val="238"/>
    </font>
    <font>
      <sz val="10"/>
      <color theme="1"/>
      <name val="Calibri"/>
      <family val="2"/>
      <charset val="238"/>
      <scheme val="minor"/>
    </font>
    <font>
      <sz val="8.5"/>
      <color rgb="FFE73E2A"/>
      <name val="Lato Light"/>
      <family val="2"/>
      <charset val="238"/>
    </font>
    <font>
      <sz val="8"/>
      <color theme="1"/>
      <name val="Lato Light"/>
      <family val="2"/>
      <charset val="238"/>
    </font>
    <font>
      <sz val="8.5"/>
      <color theme="1"/>
      <name val="Lato Light"/>
      <family val="2"/>
      <charset val="238"/>
    </font>
    <font>
      <sz val="8.5"/>
      <name val="Lato Light"/>
      <family val="2"/>
      <charset val="238"/>
    </font>
    <font>
      <sz val="8.5"/>
      <color rgb="FF0D0D0D"/>
      <name val="Lato Light"/>
      <family val="2"/>
      <charset val="238"/>
    </font>
    <font>
      <sz val="9"/>
      <name val="Lato Light"/>
      <charset val="238"/>
    </font>
    <font>
      <sz val="10"/>
      <color rgb="FFE73E2A"/>
      <name val="Arial"/>
      <family val="2"/>
      <charset val="238"/>
    </font>
    <font>
      <sz val="8"/>
      <color rgb="FF0D0D0D"/>
      <name val="Arial"/>
      <family val="2"/>
      <charset val="238"/>
    </font>
    <font>
      <sz val="9"/>
      <color rgb="FFE73E2A"/>
      <name val="Arial"/>
      <family val="2"/>
      <charset val="238"/>
    </font>
    <font>
      <sz val="7"/>
      <name val="Lato"/>
      <charset val="238"/>
    </font>
    <font>
      <sz val="7"/>
      <name val="Arial"/>
      <family val="2"/>
      <charset val="238"/>
    </font>
    <font>
      <sz val="7"/>
      <name val="Lato Light"/>
      <family val="2"/>
      <charset val="238"/>
    </font>
    <font>
      <sz val="7"/>
      <color rgb="FFE73E2A"/>
      <name val="Arial"/>
      <family val="2"/>
      <charset val="238"/>
    </font>
    <font>
      <sz val="7"/>
      <color theme="0"/>
      <name val="Arial"/>
      <family val="2"/>
      <charset val="238"/>
    </font>
    <font>
      <sz val="11"/>
      <name val="Lato Light"/>
      <family val="2"/>
      <charset val="238"/>
    </font>
    <font>
      <b/>
      <sz val="8.5"/>
      <color theme="1"/>
      <name val="Lato Light"/>
      <charset val="238"/>
    </font>
    <font>
      <sz val="8"/>
      <color rgb="FFE73E2A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73E2A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E73E2A"/>
      </top>
      <bottom/>
      <diagonal/>
    </border>
    <border>
      <left/>
      <right/>
      <top/>
      <bottom style="thin">
        <color rgb="FFE73E2A"/>
      </bottom>
      <diagonal/>
    </border>
    <border>
      <left/>
      <right/>
      <top style="thin">
        <color rgb="FFE73E2A"/>
      </top>
      <bottom style="thin">
        <color rgb="FFE73E2A"/>
      </bottom>
      <diagonal/>
    </border>
    <border>
      <left style="thin">
        <color rgb="FFE73E2A"/>
      </left>
      <right/>
      <top style="thin">
        <color rgb="FFE73E2A"/>
      </top>
      <bottom style="thin">
        <color rgb="FFE73E2A"/>
      </bottom>
      <diagonal/>
    </border>
    <border>
      <left style="thin">
        <color rgb="FFE73E2A"/>
      </left>
      <right style="thin">
        <color rgb="FFE73E2A"/>
      </right>
      <top style="thin">
        <color rgb="FFE73E2A"/>
      </top>
      <bottom style="thin">
        <color rgb="FFE73E2A"/>
      </bottom>
      <diagonal/>
    </border>
    <border>
      <left/>
      <right style="thin">
        <color rgb="FFE73E2A"/>
      </right>
      <top style="thin">
        <color rgb="FFE73E2A"/>
      </top>
      <bottom/>
      <diagonal/>
    </border>
    <border>
      <left style="thin">
        <color rgb="FFE73E2A"/>
      </left>
      <right/>
      <top/>
      <bottom/>
      <diagonal/>
    </border>
    <border>
      <left/>
      <right style="thin">
        <color rgb="FFE73E2A"/>
      </right>
      <top/>
      <bottom/>
      <diagonal/>
    </border>
    <border>
      <left/>
      <right style="thin">
        <color rgb="FFE73E2A"/>
      </right>
      <top/>
      <bottom style="thin">
        <color rgb="FFE73E2A"/>
      </bottom>
      <diagonal/>
    </border>
    <border>
      <left style="thin">
        <color rgb="FFE73E2A"/>
      </left>
      <right/>
      <top style="thin">
        <color rgb="FFE73E2A"/>
      </top>
      <bottom/>
      <diagonal/>
    </border>
    <border>
      <left style="thin">
        <color rgb="FFE73E2A"/>
      </left>
      <right/>
      <top/>
      <bottom style="thin">
        <color rgb="FFE73E2A"/>
      </bottom>
      <diagonal/>
    </border>
    <border>
      <left/>
      <right style="thin">
        <color rgb="FFE73E2A"/>
      </right>
      <top style="thin">
        <color rgb="FFE73E2A"/>
      </top>
      <bottom style="thin">
        <color rgb="FFE73E2A"/>
      </bottom>
      <diagonal/>
    </border>
    <border>
      <left/>
      <right/>
      <top/>
      <bottom style="thin">
        <color rgb="FFC00000"/>
      </bottom>
      <diagonal/>
    </border>
    <border>
      <left/>
      <right/>
      <top style="thin">
        <color rgb="FFC00000"/>
      </top>
      <bottom style="thin">
        <color rgb="FFE73E2A"/>
      </bottom>
      <diagonal/>
    </border>
    <border>
      <left style="thin">
        <color rgb="FFE73E2A"/>
      </left>
      <right style="thin">
        <color rgb="FFE73E2A"/>
      </right>
      <top style="thin">
        <color rgb="FFE73E2A"/>
      </top>
      <bottom/>
      <diagonal/>
    </border>
    <border>
      <left style="thin">
        <color rgb="FFE73E2A"/>
      </left>
      <right style="thin">
        <color rgb="FFE73E2A"/>
      </right>
      <top/>
      <bottom style="thin">
        <color rgb="FFE73E2A"/>
      </bottom>
      <diagonal/>
    </border>
    <border>
      <left/>
      <right style="thin">
        <color rgb="FFE73E2A"/>
      </right>
      <top style="thin">
        <color rgb="FFE73E2A"/>
      </top>
      <bottom style="thin">
        <color rgb="FFFF0000"/>
      </bottom>
      <diagonal/>
    </border>
    <border>
      <left style="thin">
        <color rgb="FFE73E2A"/>
      </left>
      <right/>
      <top style="thin">
        <color rgb="FFE73E2A"/>
      </top>
      <bottom style="thin">
        <color rgb="FFFF0000"/>
      </bottom>
      <diagonal/>
    </border>
    <border>
      <left/>
      <right/>
      <top style="thin">
        <color rgb="FFE73E2A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 style="thin">
        <color rgb="FFE73E2A"/>
      </right>
      <top style="thin">
        <color rgb="FFFF0000"/>
      </top>
      <bottom/>
      <diagonal/>
    </border>
    <border>
      <left style="thin">
        <color rgb="FFE73E2A"/>
      </left>
      <right/>
      <top style="thin">
        <color rgb="FFFF0000"/>
      </top>
      <bottom/>
      <diagonal/>
    </border>
  </borders>
  <cellStyleXfs count="3">
    <xf numFmtId="0" fontId="0" fillId="0" borderId="0"/>
    <xf numFmtId="0" fontId="1" fillId="0" borderId="0"/>
    <xf numFmtId="167" fontId="1" fillId="0" borderId="0" applyFont="0" applyFill="0" applyBorder="0" applyAlignment="0" applyProtection="0"/>
  </cellStyleXfs>
  <cellXfs count="270">
    <xf numFmtId="0" fontId="0" fillId="0" borderId="0" xfId="0"/>
    <xf numFmtId="0" fontId="3" fillId="0" borderId="0" xfId="1" applyFont="1" applyAlignment="1">
      <alignment vertical="top"/>
    </xf>
    <xf numFmtId="0" fontId="3" fillId="0" borderId="0" xfId="1" applyFont="1"/>
    <xf numFmtId="0" fontId="4" fillId="0" borderId="0" xfId="1" applyFont="1" applyAlignment="1">
      <alignment horizontal="center" vertical="top" wrapText="1"/>
    </xf>
    <xf numFmtId="0" fontId="1" fillId="0" borderId="0" xfId="1"/>
    <xf numFmtId="0" fontId="2" fillId="0" borderId="3" xfId="1" applyFont="1" applyBorder="1" applyAlignment="1">
      <alignment horizontal="right" vertical="center" wrapText="1"/>
    </xf>
    <xf numFmtId="0" fontId="5" fillId="3" borderId="3" xfId="1" applyFont="1" applyFill="1" applyBorder="1" applyAlignment="1">
      <alignment horizontal="left" vertical="center"/>
    </xf>
    <xf numFmtId="0" fontId="5" fillId="3" borderId="3" xfId="1" applyFont="1" applyFill="1" applyBorder="1" applyAlignment="1">
      <alignment horizontal="right" vertical="center"/>
    </xf>
    <xf numFmtId="0" fontId="6" fillId="4" borderId="3" xfId="1" applyFont="1" applyFill="1" applyBorder="1" applyAlignment="1">
      <alignment horizontal="right" vertical="center" wrapText="1"/>
    </xf>
    <xf numFmtId="0" fontId="7" fillId="3" borderId="3" xfId="1" applyFont="1" applyFill="1" applyBorder="1" applyAlignment="1">
      <alignment horizontal="left" vertical="center"/>
    </xf>
    <xf numFmtId="0" fontId="7" fillId="3" borderId="3" xfId="1" applyFont="1" applyFill="1" applyBorder="1" applyAlignment="1">
      <alignment horizontal="right" vertical="center"/>
    </xf>
    <xf numFmtId="164" fontId="7" fillId="4" borderId="3" xfId="1" applyNumberFormat="1" applyFont="1" applyFill="1" applyBorder="1" applyAlignment="1">
      <alignment horizontal="right" vertical="center" wrapText="1"/>
    </xf>
    <xf numFmtId="3" fontId="7" fillId="4" borderId="3" xfId="1" applyNumberFormat="1" applyFont="1" applyFill="1" applyBorder="1" applyAlignment="1">
      <alignment horizontal="right" vertical="center" wrapText="1"/>
    </xf>
    <xf numFmtId="0" fontId="7" fillId="3" borderId="0" xfId="1" applyFont="1" applyFill="1" applyAlignment="1">
      <alignment horizontal="left" vertical="center"/>
    </xf>
    <xf numFmtId="0" fontId="8" fillId="3" borderId="0" xfId="1" applyFont="1" applyFill="1" applyAlignment="1">
      <alignment horizontal="right" vertical="center" wrapText="1"/>
    </xf>
    <xf numFmtId="164" fontId="7" fillId="4" borderId="0" xfId="1" applyNumberFormat="1" applyFont="1" applyFill="1" applyAlignment="1">
      <alignment horizontal="right" vertical="center" wrapText="1"/>
    </xf>
    <xf numFmtId="3" fontId="7" fillId="4" borderId="0" xfId="1" applyNumberFormat="1" applyFont="1" applyFill="1" applyAlignment="1">
      <alignment horizontal="right" vertical="center" wrapText="1"/>
    </xf>
    <xf numFmtId="0" fontId="7" fillId="3" borderId="0" xfId="1" applyFont="1" applyFill="1" applyAlignment="1">
      <alignment horizontal="right" vertical="center" wrapText="1"/>
    </xf>
    <xf numFmtId="165" fontId="7" fillId="4" borderId="0" xfId="1" applyNumberFormat="1" applyFont="1" applyFill="1" applyAlignment="1">
      <alignment horizontal="right" vertical="center" wrapText="1"/>
    </xf>
    <xf numFmtId="0" fontId="9" fillId="0" borderId="0" xfId="1" applyFont="1"/>
    <xf numFmtId="166" fontId="7" fillId="4" borderId="0" xfId="1" applyNumberFormat="1" applyFont="1" applyFill="1" applyAlignment="1">
      <alignment horizontal="right" vertical="center" wrapText="1"/>
    </xf>
    <xf numFmtId="0" fontId="7" fillId="3" borderId="0" xfId="1" applyFont="1" applyFill="1" applyAlignment="1">
      <alignment horizontal="right" vertical="center"/>
    </xf>
    <xf numFmtId="164" fontId="7" fillId="0" borderId="0" xfId="1" applyNumberFormat="1" applyFont="1" applyAlignment="1">
      <alignment horizontal="right" vertical="center" wrapText="1"/>
    </xf>
    <xf numFmtId="3" fontId="7" fillId="0" borderId="0" xfId="1" applyNumberFormat="1" applyFont="1" applyAlignment="1">
      <alignment horizontal="right" vertical="center" wrapText="1"/>
    </xf>
    <xf numFmtId="0" fontId="7" fillId="5" borderId="0" xfId="1" applyFont="1" applyFill="1" applyAlignment="1">
      <alignment horizontal="left" vertical="center"/>
    </xf>
    <xf numFmtId="0" fontId="10" fillId="3" borderId="3" xfId="1" applyFont="1" applyFill="1" applyBorder="1" applyAlignment="1">
      <alignment horizontal="left" vertical="center"/>
    </xf>
    <xf numFmtId="0" fontId="10" fillId="3" borderId="3" xfId="1" applyFont="1" applyFill="1" applyBorder="1" applyAlignment="1">
      <alignment horizontal="right" vertical="center"/>
    </xf>
    <xf numFmtId="164" fontId="10" fillId="4" borderId="3" xfId="1" applyNumberFormat="1" applyFont="1" applyFill="1" applyBorder="1" applyAlignment="1">
      <alignment horizontal="right" vertical="center" wrapText="1"/>
    </xf>
    <xf numFmtId="3" fontId="10" fillId="4" borderId="3" xfId="1" applyNumberFormat="1" applyFont="1" applyFill="1" applyBorder="1" applyAlignment="1">
      <alignment horizontal="right" vertical="center" wrapText="1"/>
    </xf>
    <xf numFmtId="0" fontId="10" fillId="4" borderId="0" xfId="1" applyFont="1" applyFill="1" applyAlignment="1">
      <alignment horizontal="left" vertical="center"/>
    </xf>
    <xf numFmtId="0" fontId="10" fillId="4" borderId="0" xfId="1" applyFont="1" applyFill="1" applyAlignment="1">
      <alignment horizontal="right" vertical="center"/>
    </xf>
    <xf numFmtId="0" fontId="10" fillId="4" borderId="0" xfId="1" applyFont="1" applyFill="1" applyAlignment="1">
      <alignment horizontal="right" vertical="center" wrapText="1"/>
    </xf>
    <xf numFmtId="0" fontId="2" fillId="4" borderId="0" xfId="1" applyFont="1" applyFill="1" applyAlignment="1">
      <alignment horizontal="left" vertical="center"/>
    </xf>
    <xf numFmtId="0" fontId="8" fillId="3" borderId="3" xfId="1" applyFont="1" applyFill="1" applyBorder="1" applyAlignment="1">
      <alignment horizontal="left" vertical="center"/>
    </xf>
    <xf numFmtId="0" fontId="8" fillId="3" borderId="3" xfId="1" applyFont="1" applyFill="1" applyBorder="1" applyAlignment="1">
      <alignment horizontal="right" vertical="center"/>
    </xf>
    <xf numFmtId="10" fontId="1" fillId="0" borderId="0" xfId="1" applyNumberFormat="1"/>
    <xf numFmtId="0" fontId="8" fillId="3" borderId="0" xfId="1" applyFont="1" applyFill="1" applyAlignment="1">
      <alignment horizontal="left" vertical="center"/>
    </xf>
    <xf numFmtId="0" fontId="8" fillId="3" borderId="0" xfId="1" applyFont="1" applyFill="1" applyAlignment="1">
      <alignment horizontal="right" vertical="center"/>
    </xf>
    <xf numFmtId="0" fontId="8" fillId="3" borderId="0" xfId="1" applyFont="1" applyFill="1" applyAlignment="1">
      <alignment horizontal="left" vertical="center" wrapText="1"/>
    </xf>
    <xf numFmtId="0" fontId="8" fillId="6" borderId="0" xfId="1" applyFont="1" applyFill="1" applyAlignment="1">
      <alignment horizontal="left" vertical="center" wrapText="1"/>
    </xf>
    <xf numFmtId="0" fontId="11" fillId="3" borderId="2" xfId="1" applyFont="1" applyFill="1" applyBorder="1" applyAlignment="1">
      <alignment horizontal="left" vertical="center"/>
    </xf>
    <xf numFmtId="0" fontId="11" fillId="3" borderId="2" xfId="1" applyFont="1" applyFill="1" applyBorder="1" applyAlignment="1">
      <alignment horizontal="right" vertical="center"/>
    </xf>
    <xf numFmtId="164" fontId="7" fillId="4" borderId="2" xfId="1" applyNumberFormat="1" applyFont="1" applyFill="1" applyBorder="1" applyAlignment="1">
      <alignment horizontal="right" vertical="center" wrapText="1"/>
    </xf>
    <xf numFmtId="3" fontId="7" fillId="4" borderId="2" xfId="1" applyNumberFormat="1" applyFont="1" applyFill="1" applyBorder="1" applyAlignment="1">
      <alignment horizontal="right" vertical="center" wrapText="1"/>
    </xf>
    <xf numFmtId="0" fontId="11" fillId="3" borderId="0" xfId="1" applyFont="1" applyFill="1" applyAlignment="1">
      <alignment horizontal="right" vertical="center"/>
    </xf>
    <xf numFmtId="0" fontId="8" fillId="5" borderId="0" xfId="1" applyFont="1" applyFill="1" applyAlignment="1">
      <alignment horizontal="left" vertical="center"/>
    </xf>
    <xf numFmtId="49" fontId="8" fillId="3" borderId="0" xfId="1" applyNumberFormat="1" applyFont="1" applyFill="1" applyAlignment="1">
      <alignment horizontal="right" vertical="center"/>
    </xf>
    <xf numFmtId="165" fontId="7" fillId="0" borderId="0" xfId="1" applyNumberFormat="1" applyFont="1" applyAlignment="1">
      <alignment horizontal="right" vertical="center" wrapText="1"/>
    </xf>
    <xf numFmtId="0" fontId="7" fillId="0" borderId="0" xfId="1" applyFont="1" applyAlignment="1">
      <alignment horizontal="right" vertical="center" wrapText="1"/>
    </xf>
    <xf numFmtId="0" fontId="11" fillId="3" borderId="3" xfId="1" applyFont="1" applyFill="1" applyBorder="1" applyAlignment="1">
      <alignment horizontal="left" vertical="center"/>
    </xf>
    <xf numFmtId="0" fontId="11" fillId="3" borderId="3" xfId="1" applyFont="1" applyFill="1" applyBorder="1" applyAlignment="1">
      <alignment horizontal="right" vertical="center"/>
    </xf>
    <xf numFmtId="0" fontId="8" fillId="5" borderId="0" xfId="1" applyFont="1" applyFill="1" applyAlignment="1">
      <alignment horizontal="left" vertical="center" wrapText="1"/>
    </xf>
    <xf numFmtId="0" fontId="8" fillId="5" borderId="0" xfId="1" applyFont="1" applyFill="1" applyAlignment="1">
      <alignment horizontal="right" vertical="center"/>
    </xf>
    <xf numFmtId="166" fontId="7" fillId="0" borderId="0" xfId="1" applyNumberFormat="1" applyFont="1" applyAlignment="1">
      <alignment horizontal="right" vertical="center" wrapText="1"/>
    </xf>
    <xf numFmtId="0" fontId="1" fillId="0" borderId="0" xfId="1" applyAlignment="1">
      <alignment horizontal="right"/>
    </xf>
    <xf numFmtId="0" fontId="12" fillId="2" borderId="0" xfId="1" applyFont="1" applyFill="1"/>
    <xf numFmtId="0" fontId="13" fillId="0" borderId="0" xfId="1" applyFont="1"/>
    <xf numFmtId="0" fontId="10" fillId="0" borderId="3" xfId="1" applyFont="1" applyBorder="1" applyAlignment="1">
      <alignment horizontal="right" vertical="center" wrapText="1"/>
    </xf>
    <xf numFmtId="0" fontId="14" fillId="3" borderId="0" xfId="1" applyFont="1" applyFill="1" applyAlignment="1">
      <alignment horizontal="justify" vertical="center"/>
    </xf>
    <xf numFmtId="164" fontId="14" fillId="4" borderId="0" xfId="1" applyNumberFormat="1" applyFont="1" applyFill="1" applyAlignment="1">
      <alignment horizontal="right" vertical="center" wrapText="1"/>
    </xf>
    <xf numFmtId="0" fontId="14" fillId="4" borderId="0" xfId="1" applyFont="1" applyFill="1" applyAlignment="1">
      <alignment horizontal="right" vertical="center" wrapText="1"/>
    </xf>
    <xf numFmtId="0" fontId="15" fillId="3" borderId="3" xfId="1" applyFont="1" applyFill="1" applyBorder="1" applyAlignment="1">
      <alignment horizontal="left" vertical="center"/>
    </xf>
    <xf numFmtId="0" fontId="15" fillId="3" borderId="3" xfId="1" applyFont="1" applyFill="1" applyBorder="1" applyAlignment="1">
      <alignment horizontal="right" vertical="center"/>
    </xf>
    <xf numFmtId="164" fontId="16" fillId="4" borderId="3" xfId="1" applyNumberFormat="1" applyFont="1" applyFill="1" applyBorder="1" applyAlignment="1">
      <alignment horizontal="right" vertical="center" wrapText="1"/>
    </xf>
    <xf numFmtId="3" fontId="16" fillId="4" borderId="3" xfId="1" applyNumberFormat="1" applyFont="1" applyFill="1" applyBorder="1" applyAlignment="1">
      <alignment horizontal="right" vertical="center" wrapText="1"/>
    </xf>
    <xf numFmtId="0" fontId="16" fillId="3" borderId="0" xfId="1" applyFont="1" applyFill="1" applyAlignment="1">
      <alignment horizontal="left" vertical="center"/>
    </xf>
    <xf numFmtId="164" fontId="16" fillId="4" borderId="0" xfId="1" applyNumberFormat="1" applyFont="1" applyFill="1" applyAlignment="1">
      <alignment horizontal="right" vertical="center" wrapText="1"/>
    </xf>
    <xf numFmtId="3" fontId="16" fillId="4" borderId="0" xfId="1" applyNumberFormat="1" applyFont="1" applyFill="1" applyAlignment="1">
      <alignment horizontal="right" vertical="center" wrapText="1"/>
    </xf>
    <xf numFmtId="0" fontId="16" fillId="3" borderId="3" xfId="1" applyFont="1" applyFill="1" applyBorder="1" applyAlignment="1">
      <alignment horizontal="left" vertical="center" wrapText="1"/>
    </xf>
    <xf numFmtId="0" fontId="16" fillId="3" borderId="3" xfId="1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164" fontId="16" fillId="2" borderId="0" xfId="1" applyNumberFormat="1" applyFont="1" applyFill="1" applyAlignment="1">
      <alignment horizontal="right" vertical="center" wrapText="1"/>
    </xf>
    <xf numFmtId="3" fontId="1" fillId="0" borderId="0" xfId="1" applyNumberFormat="1"/>
    <xf numFmtId="0" fontId="16" fillId="3" borderId="0" xfId="1" applyFont="1" applyFill="1" applyAlignment="1">
      <alignment horizontal="right" vertical="center"/>
    </xf>
    <xf numFmtId="0" fontId="16" fillId="4" borderId="0" xfId="1" applyFont="1" applyFill="1" applyAlignment="1">
      <alignment horizontal="right" vertical="center" wrapText="1"/>
    </xf>
    <xf numFmtId="9" fontId="1" fillId="0" borderId="0" xfId="1" applyNumberFormat="1"/>
    <xf numFmtId="0" fontId="16" fillId="3" borderId="3" xfId="1" applyFont="1" applyFill="1" applyBorder="1" applyAlignment="1">
      <alignment horizontal="right" vertical="center"/>
    </xf>
    <xf numFmtId="0" fontId="16" fillId="4" borderId="3" xfId="1" applyFont="1" applyFill="1" applyBorder="1" applyAlignment="1">
      <alignment horizontal="right" vertical="center" wrapText="1"/>
    </xf>
    <xf numFmtId="0" fontId="17" fillId="3" borderId="3" xfId="1" applyFont="1" applyFill="1" applyBorder="1" applyAlignment="1">
      <alignment horizontal="right" vertical="center"/>
    </xf>
    <xf numFmtId="0" fontId="14" fillId="3" borderId="3" xfId="1" applyFont="1" applyFill="1" applyBorder="1" applyAlignment="1">
      <alignment horizontal="left" vertical="center"/>
    </xf>
    <xf numFmtId="1" fontId="7" fillId="4" borderId="3" xfId="1" applyNumberFormat="1" applyFont="1" applyFill="1" applyBorder="1" applyAlignment="1">
      <alignment horizontal="right" vertical="center" wrapText="1"/>
    </xf>
    <xf numFmtId="164" fontId="10" fillId="0" borderId="3" xfId="1" applyNumberFormat="1" applyFont="1" applyBorder="1" applyAlignment="1">
      <alignment horizontal="right" vertical="center" wrapText="1"/>
    </xf>
    <xf numFmtId="0" fontId="7" fillId="4" borderId="0" xfId="1" applyFont="1" applyFill="1" applyAlignment="1">
      <alignment horizontal="left" vertical="center"/>
    </xf>
    <xf numFmtId="0" fontId="15" fillId="4" borderId="0" xfId="1" applyFont="1" applyFill="1" applyAlignment="1">
      <alignment horizontal="right" vertical="center" wrapText="1"/>
    </xf>
    <xf numFmtId="0" fontId="16" fillId="3" borderId="2" xfId="1" applyFont="1" applyFill="1" applyBorder="1" applyAlignment="1">
      <alignment horizontal="left" vertical="center"/>
    </xf>
    <xf numFmtId="164" fontId="16" fillId="4" borderId="2" xfId="1" applyNumberFormat="1" applyFont="1" applyFill="1" applyBorder="1" applyAlignment="1">
      <alignment horizontal="right" vertical="center" wrapText="1"/>
    </xf>
    <xf numFmtId="3" fontId="16" fillId="4" borderId="2" xfId="1" applyNumberFormat="1" applyFont="1" applyFill="1" applyBorder="1" applyAlignment="1">
      <alignment horizontal="right" vertical="center" wrapText="1"/>
    </xf>
    <xf numFmtId="2" fontId="18" fillId="4" borderId="0" xfId="2" applyNumberFormat="1" applyFont="1" applyFill="1" applyAlignment="1">
      <alignment horizontal="right" vertical="center" wrapText="1"/>
    </xf>
    <xf numFmtId="167" fontId="18" fillId="4" borderId="0" xfId="2" applyFont="1" applyFill="1" applyAlignment="1">
      <alignment horizontal="right" vertical="center" wrapText="1"/>
    </xf>
    <xf numFmtId="167" fontId="18" fillId="4" borderId="0" xfId="1" applyNumberFormat="1" applyFont="1" applyFill="1" applyAlignment="1">
      <alignment horizontal="right" vertical="center" wrapText="1"/>
    </xf>
    <xf numFmtId="0" fontId="1" fillId="7" borderId="0" xfId="1" applyFill="1"/>
    <xf numFmtId="2" fontId="18" fillId="4" borderId="2" xfId="2" applyNumberFormat="1" applyFont="1" applyFill="1" applyBorder="1" applyAlignment="1">
      <alignment horizontal="right" vertical="center" wrapText="1"/>
    </xf>
    <xf numFmtId="167" fontId="18" fillId="4" borderId="2" xfId="1" applyNumberFormat="1" applyFont="1" applyFill="1" applyBorder="1" applyAlignment="1">
      <alignment horizontal="right" vertical="center" wrapText="1"/>
    </xf>
    <xf numFmtId="0" fontId="10" fillId="3" borderId="0" xfId="1" applyFont="1" applyFill="1" applyAlignment="1">
      <alignment horizontal="left" vertical="center"/>
    </xf>
    <xf numFmtId="0" fontId="16" fillId="3" borderId="0" xfId="1" applyFont="1" applyFill="1" applyAlignment="1">
      <alignment horizontal="left" vertical="center" wrapText="1"/>
    </xf>
    <xf numFmtId="0" fontId="16" fillId="3" borderId="1" xfId="1" applyFont="1" applyFill="1" applyBorder="1" applyAlignment="1">
      <alignment horizontal="left" vertical="center"/>
    </xf>
    <xf numFmtId="164" fontId="16" fillId="4" borderId="1" xfId="1" applyNumberFormat="1" applyFont="1" applyFill="1" applyBorder="1" applyAlignment="1">
      <alignment horizontal="right" vertical="center" wrapText="1"/>
    </xf>
    <xf numFmtId="0" fontId="16" fillId="4" borderId="1" xfId="1" applyFont="1" applyFill="1" applyBorder="1" applyAlignment="1">
      <alignment horizontal="right" vertical="center" wrapText="1"/>
    </xf>
    <xf numFmtId="0" fontId="16" fillId="4" borderId="2" xfId="1" applyFont="1" applyFill="1" applyBorder="1" applyAlignment="1">
      <alignment horizontal="right" vertical="center" wrapText="1"/>
    </xf>
    <xf numFmtId="0" fontId="19" fillId="5" borderId="0" xfId="1" applyFont="1" applyFill="1" applyAlignment="1">
      <alignment horizontal="left" vertical="center"/>
    </xf>
    <xf numFmtId="164" fontId="10" fillId="0" borderId="0" xfId="1" applyNumberFormat="1" applyFont="1" applyAlignment="1">
      <alignment horizontal="right" vertical="center" wrapText="1"/>
    </xf>
    <xf numFmtId="3" fontId="10" fillId="0" borderId="0" xfId="1" applyNumberFormat="1" applyFont="1" applyAlignment="1">
      <alignment horizontal="right" vertical="center" wrapText="1"/>
    </xf>
    <xf numFmtId="0" fontId="1" fillId="0" borderId="1" xfId="1" applyBorder="1"/>
    <xf numFmtId="0" fontId="12" fillId="0" borderId="0" xfId="1" applyFont="1"/>
    <xf numFmtId="0" fontId="14" fillId="3" borderId="3" xfId="1" applyFont="1" applyFill="1" applyBorder="1" applyAlignment="1">
      <alignment horizontal="left" vertical="center" wrapText="1"/>
    </xf>
    <xf numFmtId="0" fontId="14" fillId="4" borderId="3" xfId="1" applyFont="1" applyFill="1" applyBorder="1" applyAlignment="1">
      <alignment horizontal="right" vertical="center" wrapText="1"/>
    </xf>
    <xf numFmtId="164" fontId="18" fillId="0" borderId="3" xfId="1" applyNumberFormat="1" applyFont="1" applyBorder="1" applyAlignment="1">
      <alignment horizontal="right" vertical="center" wrapText="1"/>
    </xf>
    <xf numFmtId="3" fontId="18" fillId="4" borderId="3" xfId="1" applyNumberFormat="1" applyFont="1" applyFill="1" applyBorder="1" applyAlignment="1">
      <alignment horizontal="right" vertical="center" wrapText="1"/>
    </xf>
    <xf numFmtId="0" fontId="17" fillId="3" borderId="0" xfId="1" applyFont="1" applyFill="1" applyAlignment="1">
      <alignment horizontal="left" vertical="center" wrapText="1"/>
    </xf>
    <xf numFmtId="165" fontId="16" fillId="4" borderId="0" xfId="1" applyNumberFormat="1" applyFont="1" applyFill="1" applyAlignment="1">
      <alignment horizontal="right" vertical="center" wrapText="1"/>
    </xf>
    <xf numFmtId="164" fontId="16" fillId="0" borderId="0" xfId="1" applyNumberFormat="1" applyFont="1" applyAlignment="1">
      <alignment horizontal="right" vertical="center" wrapText="1"/>
    </xf>
    <xf numFmtId="167" fontId="16" fillId="4" borderId="0" xfId="1" applyNumberFormat="1" applyFont="1" applyFill="1" applyAlignment="1">
      <alignment horizontal="right" vertical="center" wrapText="1"/>
    </xf>
    <xf numFmtId="0" fontId="17" fillId="6" borderId="0" xfId="1" applyFont="1" applyFill="1" applyAlignment="1">
      <alignment horizontal="left" vertical="center" wrapText="1"/>
    </xf>
    <xf numFmtId="166" fontId="16" fillId="4" borderId="0" xfId="1" applyNumberFormat="1" applyFont="1" applyFill="1" applyAlignment="1">
      <alignment horizontal="right" vertical="center" wrapText="1"/>
    </xf>
    <xf numFmtId="0" fontId="17" fillId="3" borderId="0" xfId="1" applyFont="1" applyFill="1" applyAlignment="1">
      <alignment horizontal="left" vertical="center"/>
    </xf>
    <xf numFmtId="0" fontId="17" fillId="5" borderId="0" xfId="1" applyFont="1" applyFill="1" applyAlignment="1">
      <alignment horizontal="left" vertical="center" wrapText="1"/>
    </xf>
    <xf numFmtId="3" fontId="16" fillId="0" borderId="0" xfId="1" applyNumberFormat="1" applyFont="1" applyAlignment="1">
      <alignment horizontal="right" vertical="center" wrapText="1"/>
    </xf>
    <xf numFmtId="0" fontId="17" fillId="3" borderId="3" xfId="1" applyFont="1" applyFill="1" applyBorder="1" applyAlignment="1">
      <alignment horizontal="left" vertical="center" wrapText="1"/>
    </xf>
    <xf numFmtId="0" fontId="15" fillId="3" borderId="3" xfId="1" applyFont="1" applyFill="1" applyBorder="1" applyAlignment="1">
      <alignment horizontal="left" vertical="center" wrapText="1"/>
    </xf>
    <xf numFmtId="1" fontId="16" fillId="4" borderId="0" xfId="1" applyNumberFormat="1" applyFont="1" applyFill="1" applyAlignment="1">
      <alignment horizontal="right" vertical="center" wrapText="1"/>
    </xf>
    <xf numFmtId="168" fontId="16" fillId="4" borderId="0" xfId="1" applyNumberFormat="1" applyFont="1" applyFill="1" applyAlignment="1">
      <alignment horizontal="right" vertical="center" wrapText="1"/>
    </xf>
    <xf numFmtId="0" fontId="10" fillId="3" borderId="3" xfId="1" applyFont="1" applyFill="1" applyBorder="1" applyAlignment="1">
      <alignment horizontal="left" vertical="center" wrapText="1"/>
    </xf>
    <xf numFmtId="164" fontId="14" fillId="4" borderId="3" xfId="1" applyNumberFormat="1" applyFont="1" applyFill="1" applyBorder="1" applyAlignment="1">
      <alignment horizontal="right" vertical="center" wrapText="1"/>
    </xf>
    <xf numFmtId="3" fontId="14" fillId="4" borderId="3" xfId="1" applyNumberFormat="1" applyFont="1" applyFill="1" applyBorder="1" applyAlignment="1">
      <alignment horizontal="right" vertical="center" wrapText="1"/>
    </xf>
    <xf numFmtId="0" fontId="1" fillId="0" borderId="0" xfId="1" applyAlignment="1">
      <alignment wrapText="1"/>
    </xf>
    <xf numFmtId="0" fontId="7" fillId="2" borderId="0" xfId="1" applyFont="1" applyFill="1"/>
    <xf numFmtId="0" fontId="4" fillId="2" borderId="5" xfId="1" applyFont="1" applyFill="1" applyBorder="1" applyAlignment="1">
      <alignment horizontal="right" textRotation="90" wrapText="1"/>
    </xf>
    <xf numFmtId="0" fontId="4" fillId="2" borderId="4" xfId="1" applyFont="1" applyFill="1" applyBorder="1" applyAlignment="1">
      <alignment horizontal="right" textRotation="90" wrapText="1"/>
    </xf>
    <xf numFmtId="0" fontId="23" fillId="3" borderId="6" xfId="1" applyFont="1" applyFill="1" applyBorder="1" applyAlignment="1">
      <alignment horizontal="left" vertical="center"/>
    </xf>
    <xf numFmtId="3" fontId="24" fillId="4" borderId="0" xfId="1" applyNumberFormat="1" applyFont="1" applyFill="1" applyAlignment="1">
      <alignment horizontal="right" vertical="center" wrapText="1"/>
    </xf>
    <xf numFmtId="0" fontId="24" fillId="4" borderId="0" xfId="1" applyFont="1" applyFill="1" applyAlignment="1">
      <alignment horizontal="right" vertical="center" wrapText="1"/>
    </xf>
    <xf numFmtId="3" fontId="24" fillId="4" borderId="7" xfId="1" applyNumberFormat="1" applyFont="1" applyFill="1" applyBorder="1" applyAlignment="1">
      <alignment horizontal="right" vertical="center" wrapText="1"/>
    </xf>
    <xf numFmtId="0" fontId="24" fillId="3" borderId="8" xfId="1" applyFont="1" applyFill="1" applyBorder="1" applyAlignment="1">
      <alignment horizontal="left" vertical="center"/>
    </xf>
    <xf numFmtId="167" fontId="24" fillId="4" borderId="7" xfId="1" applyNumberFormat="1" applyFont="1" applyFill="1" applyBorder="1" applyAlignment="1">
      <alignment horizontal="right" vertical="center" wrapText="1"/>
    </xf>
    <xf numFmtId="0" fontId="24" fillId="3" borderId="9" xfId="1" applyFont="1" applyFill="1" applyBorder="1" applyAlignment="1">
      <alignment horizontal="left" vertical="center"/>
    </xf>
    <xf numFmtId="0" fontId="24" fillId="4" borderId="2" xfId="1" applyFont="1" applyFill="1" applyBorder="1" applyAlignment="1">
      <alignment horizontal="right" vertical="center" wrapText="1"/>
    </xf>
    <xf numFmtId="3" fontId="24" fillId="4" borderId="2" xfId="1" applyNumberFormat="1" applyFont="1" applyFill="1" applyBorder="1" applyAlignment="1">
      <alignment horizontal="right" vertical="center" wrapText="1"/>
    </xf>
    <xf numFmtId="0" fontId="24" fillId="4" borderId="10" xfId="1" applyFont="1" applyFill="1" applyBorder="1" applyAlignment="1">
      <alignment horizontal="right" vertical="center" wrapText="1"/>
    </xf>
    <xf numFmtId="0" fontId="24" fillId="4" borderId="11" xfId="1" applyFont="1" applyFill="1" applyBorder="1" applyAlignment="1">
      <alignment horizontal="right" vertical="center" wrapText="1"/>
    </xf>
    <xf numFmtId="0" fontId="24" fillId="3" borderId="12" xfId="1" applyFont="1" applyFill="1" applyBorder="1" applyAlignment="1">
      <alignment horizontal="left" vertical="center"/>
    </xf>
    <xf numFmtId="3" fontId="24" fillId="4" borderId="3" xfId="1" applyNumberFormat="1" applyFont="1" applyFill="1" applyBorder="1" applyAlignment="1">
      <alignment horizontal="right" vertical="center" wrapText="1"/>
    </xf>
    <xf numFmtId="3" fontId="24" fillId="4" borderId="4" xfId="1" applyNumberFormat="1" applyFont="1" applyFill="1" applyBorder="1" applyAlignment="1">
      <alignment horizontal="right" vertical="center" wrapText="1"/>
    </xf>
    <xf numFmtId="0" fontId="24" fillId="4" borderId="7" xfId="1" applyFont="1" applyFill="1" applyBorder="1" applyAlignment="1">
      <alignment horizontal="right" vertical="center" wrapText="1"/>
    </xf>
    <xf numFmtId="0" fontId="25" fillId="3" borderId="8" xfId="1" applyFont="1" applyFill="1" applyBorder="1" applyAlignment="1">
      <alignment horizontal="left" vertical="center"/>
    </xf>
    <xf numFmtId="0" fontId="25" fillId="3" borderId="8" xfId="1" applyFont="1" applyFill="1" applyBorder="1" applyAlignment="1">
      <alignment horizontal="left" vertical="center" wrapText="1"/>
    </xf>
    <xf numFmtId="0" fontId="26" fillId="3" borderId="12" xfId="1" applyFont="1" applyFill="1" applyBorder="1" applyAlignment="1">
      <alignment horizontal="left" vertical="center"/>
    </xf>
    <xf numFmtId="3" fontId="26" fillId="4" borderId="3" xfId="1" applyNumberFormat="1" applyFont="1" applyFill="1" applyBorder="1" applyAlignment="1">
      <alignment horizontal="right" vertical="center" wrapText="1"/>
    </xf>
    <xf numFmtId="0" fontId="26" fillId="4" borderId="3" xfId="1" applyFont="1" applyFill="1" applyBorder="1" applyAlignment="1">
      <alignment horizontal="right" vertical="center" wrapText="1"/>
    </xf>
    <xf numFmtId="3" fontId="26" fillId="4" borderId="4" xfId="1" applyNumberFormat="1" applyFont="1" applyFill="1" applyBorder="1" applyAlignment="1">
      <alignment horizontal="right" vertical="center" wrapText="1"/>
    </xf>
    <xf numFmtId="0" fontId="1" fillId="0" borderId="0" xfId="1" applyAlignment="1">
      <alignment horizontal="justify" textRotation="90" wrapText="1"/>
    </xf>
    <xf numFmtId="0" fontId="24" fillId="3" borderId="6" xfId="1" applyFont="1" applyFill="1" applyBorder="1" applyAlignment="1">
      <alignment horizontal="left" vertical="center"/>
    </xf>
    <xf numFmtId="3" fontId="24" fillId="4" borderId="11" xfId="1" applyNumberFormat="1" applyFont="1" applyFill="1" applyBorder="1" applyAlignment="1">
      <alignment horizontal="right" vertical="center" wrapText="1"/>
    </xf>
    <xf numFmtId="166" fontId="24" fillId="4" borderId="0" xfId="2" applyNumberFormat="1" applyFont="1" applyFill="1" applyAlignment="1">
      <alignment horizontal="right" vertical="center" wrapText="1"/>
    </xf>
    <xf numFmtId="0" fontId="24" fillId="4" borderId="3" xfId="1" applyFont="1" applyFill="1" applyBorder="1" applyAlignment="1">
      <alignment horizontal="right" vertical="center" wrapText="1"/>
    </xf>
    <xf numFmtId="0" fontId="24" fillId="4" borderId="4" xfId="1" applyFont="1" applyFill="1" applyBorder="1" applyAlignment="1">
      <alignment horizontal="right" vertical="center" wrapText="1"/>
    </xf>
    <xf numFmtId="167" fontId="24" fillId="4" borderId="0" xfId="1" applyNumberFormat="1" applyFont="1" applyFill="1" applyAlignment="1">
      <alignment horizontal="right" vertical="center" wrapText="1"/>
    </xf>
    <xf numFmtId="0" fontId="27" fillId="4" borderId="0" xfId="1" applyFont="1" applyFill="1" applyAlignment="1">
      <alignment horizontal="right" vertical="center" wrapText="1"/>
    </xf>
    <xf numFmtId="3" fontId="24" fillId="2" borderId="7" xfId="1" applyNumberFormat="1" applyFont="1" applyFill="1" applyBorder="1" applyAlignment="1">
      <alignment horizontal="right" vertical="center" wrapText="1"/>
    </xf>
    <xf numFmtId="168" fontId="24" fillId="4" borderId="0" xfId="1" applyNumberFormat="1" applyFont="1" applyFill="1" applyAlignment="1">
      <alignment horizontal="right" vertical="center" wrapText="1"/>
    </xf>
    <xf numFmtId="0" fontId="25" fillId="6" borderId="8" xfId="1" applyFont="1" applyFill="1" applyBorder="1" applyAlignment="1">
      <alignment horizontal="left" vertical="center"/>
    </xf>
    <xf numFmtId="168" fontId="24" fillId="4" borderId="8" xfId="1" applyNumberFormat="1" applyFont="1" applyFill="1" applyBorder="1" applyAlignment="1">
      <alignment horizontal="right" vertical="center" wrapText="1"/>
    </xf>
    <xf numFmtId="167" fontId="24" fillId="2" borderId="7" xfId="1" applyNumberFormat="1" applyFont="1" applyFill="1" applyBorder="1" applyAlignment="1">
      <alignment horizontal="right" vertical="center" wrapText="1"/>
    </xf>
    <xf numFmtId="3" fontId="24" fillId="4" borderId="9" xfId="1" applyNumberFormat="1" applyFont="1" applyFill="1" applyBorder="1" applyAlignment="1">
      <alignment horizontal="right" vertical="center" wrapText="1"/>
    </xf>
    <xf numFmtId="0" fontId="7" fillId="4" borderId="0" xfId="1" applyFont="1" applyFill="1" applyAlignment="1">
      <alignment horizontal="right" vertical="center" wrapText="1"/>
    </xf>
    <xf numFmtId="3" fontId="7" fillId="0" borderId="13" xfId="1" applyNumberFormat="1" applyFont="1" applyBorder="1" applyAlignment="1">
      <alignment horizontal="right" vertical="center" wrapText="1"/>
    </xf>
    <xf numFmtId="3" fontId="7" fillId="4" borderId="13" xfId="1" applyNumberFormat="1" applyFont="1" applyFill="1" applyBorder="1" applyAlignment="1">
      <alignment horizontal="right" vertical="center" wrapText="1"/>
    </xf>
    <xf numFmtId="0" fontId="7" fillId="6" borderId="14" xfId="1" applyFont="1" applyFill="1" applyBorder="1" applyAlignment="1">
      <alignment horizontal="left" vertical="center"/>
    </xf>
    <xf numFmtId="0" fontId="7" fillId="3" borderId="14" xfId="1" applyFont="1" applyFill="1" applyBorder="1" applyAlignment="1">
      <alignment horizontal="right" vertical="center"/>
    </xf>
    <xf numFmtId="165" fontId="7" fillId="4" borderId="0" xfId="1" applyNumberFormat="1" applyFont="1" applyFill="1" applyAlignment="1">
      <alignment horizontal="right" wrapText="1"/>
    </xf>
    <xf numFmtId="165" fontId="7" fillId="0" borderId="0" xfId="1" applyNumberFormat="1" applyFont="1" applyAlignment="1">
      <alignment horizontal="right" wrapText="1"/>
    </xf>
    <xf numFmtId="3" fontId="7" fillId="0" borderId="3" xfId="1" applyNumberFormat="1" applyFont="1" applyBorder="1" applyAlignment="1">
      <alignment horizontal="right" vertical="center" wrapText="1"/>
    </xf>
    <xf numFmtId="168" fontId="7" fillId="0" borderId="0" xfId="1" applyNumberFormat="1" applyFont="1" applyAlignment="1">
      <alignment horizontal="right" vertical="center" wrapText="1"/>
    </xf>
    <xf numFmtId="168" fontId="7" fillId="0" borderId="0" xfId="1" applyNumberFormat="1" applyFont="1" applyAlignment="1">
      <alignment horizontal="right" wrapText="1"/>
    </xf>
    <xf numFmtId="167" fontId="7" fillId="0" borderId="0" xfId="1" applyNumberFormat="1" applyFont="1" applyAlignment="1">
      <alignment horizontal="right" wrapText="1"/>
    </xf>
    <xf numFmtId="3" fontId="7" fillId="0" borderId="0" xfId="1" applyNumberFormat="1" applyFont="1" applyAlignment="1">
      <alignment horizontal="right" wrapText="1"/>
    </xf>
    <xf numFmtId="0" fontId="8" fillId="6" borderId="3" xfId="1" applyFont="1" applyFill="1" applyBorder="1" applyAlignment="1">
      <alignment horizontal="left" vertical="center" wrapText="1"/>
    </xf>
    <xf numFmtId="3" fontId="10" fillId="0" borderId="3" xfId="1" applyNumberFormat="1" applyFont="1" applyBorder="1" applyAlignment="1">
      <alignment horizontal="right" vertical="center" wrapText="1"/>
    </xf>
    <xf numFmtId="3" fontId="1" fillId="0" borderId="0" xfId="1" applyNumberFormat="1" applyAlignment="1">
      <alignment horizontal="right"/>
    </xf>
    <xf numFmtId="0" fontId="1" fillId="2" borderId="0" xfId="1" applyFill="1"/>
    <xf numFmtId="3" fontId="16" fillId="0" borderId="3" xfId="1" applyNumberFormat="1" applyFont="1" applyBorder="1" applyAlignment="1">
      <alignment horizontal="right" vertical="center" wrapText="1"/>
    </xf>
    <xf numFmtId="165" fontId="16" fillId="4" borderId="0" xfId="1" applyNumberFormat="1" applyFont="1" applyFill="1" applyAlignment="1">
      <alignment horizontal="right" wrapText="1"/>
    </xf>
    <xf numFmtId="0" fontId="16" fillId="0" borderId="3" xfId="1" applyFont="1" applyBorder="1" applyAlignment="1">
      <alignment horizontal="right" vertical="center" wrapText="1"/>
    </xf>
    <xf numFmtId="0" fontId="16" fillId="0" borderId="0" xfId="1" applyFont="1" applyAlignment="1">
      <alignment horizontal="right" vertical="center" wrapText="1"/>
    </xf>
    <xf numFmtId="0" fontId="17" fillId="5" borderId="3" xfId="1" applyFont="1" applyFill="1" applyBorder="1" applyAlignment="1">
      <alignment horizontal="left" vertical="center"/>
    </xf>
    <xf numFmtId="0" fontId="17" fillId="5" borderId="3" xfId="1" applyFont="1" applyFill="1" applyBorder="1" applyAlignment="1">
      <alignment horizontal="right" vertical="center"/>
    </xf>
    <xf numFmtId="0" fontId="16" fillId="5" borderId="3" xfId="1" applyFont="1" applyFill="1" applyBorder="1" applyAlignment="1">
      <alignment horizontal="left" vertical="center"/>
    </xf>
    <xf numFmtId="3" fontId="17" fillId="0" borderId="3" xfId="1" applyNumberFormat="1" applyFont="1" applyBorder="1" applyAlignment="1">
      <alignment horizontal="right" vertical="center" wrapText="1"/>
    </xf>
    <xf numFmtId="3" fontId="14" fillId="0" borderId="3" xfId="1" applyNumberFormat="1" applyFont="1" applyBorder="1" applyAlignment="1">
      <alignment horizontal="right" vertical="center" wrapText="1"/>
    </xf>
    <xf numFmtId="0" fontId="10" fillId="2" borderId="0" xfId="1" applyFont="1" applyFill="1" applyAlignment="1">
      <alignment horizontal="left" vertical="center"/>
    </xf>
    <xf numFmtId="3" fontId="14" fillId="0" borderId="0" xfId="1" applyNumberFormat="1" applyFont="1" applyAlignment="1">
      <alignment horizontal="right" vertical="center" wrapText="1"/>
    </xf>
    <xf numFmtId="3" fontId="14" fillId="4" borderId="0" xfId="1" applyNumberFormat="1" applyFont="1" applyFill="1" applyAlignment="1">
      <alignment horizontal="right" vertical="center" wrapText="1"/>
    </xf>
    <xf numFmtId="0" fontId="2" fillId="4" borderId="0" xfId="1" applyFont="1" applyFill="1" applyAlignment="1">
      <alignment horizontal="left" vertical="top" wrapText="1"/>
    </xf>
    <xf numFmtId="0" fontId="16" fillId="5" borderId="2" xfId="1" applyFont="1" applyFill="1" applyBorder="1" applyAlignment="1">
      <alignment horizontal="left" vertical="center"/>
    </xf>
    <xf numFmtId="3" fontId="16" fillId="4" borderId="1" xfId="1" applyNumberFormat="1" applyFont="1" applyFill="1" applyBorder="1" applyAlignment="1">
      <alignment horizontal="right" vertical="center" wrapText="1"/>
    </xf>
    <xf numFmtId="165" fontId="16" fillId="4" borderId="2" xfId="1" applyNumberFormat="1" applyFont="1" applyFill="1" applyBorder="1" applyAlignment="1">
      <alignment horizontal="right" wrapText="1"/>
    </xf>
    <xf numFmtId="2" fontId="18" fillId="0" borderId="0" xfId="2" applyNumberFormat="1" applyFont="1" applyFill="1" applyAlignment="1">
      <alignment horizontal="right" vertical="center" wrapText="1"/>
    </xf>
    <xf numFmtId="2" fontId="18" fillId="0" borderId="0" xfId="1" applyNumberFormat="1" applyFont="1" applyAlignment="1">
      <alignment horizontal="right" vertical="center" wrapText="1"/>
    </xf>
    <xf numFmtId="2" fontId="16" fillId="0" borderId="0" xfId="1" applyNumberFormat="1" applyFont="1" applyAlignment="1">
      <alignment horizontal="right" vertical="center" wrapText="1"/>
    </xf>
    <xf numFmtId="2" fontId="18" fillId="0" borderId="2" xfId="1" applyNumberFormat="1" applyFont="1" applyBorder="1" applyAlignment="1">
      <alignment horizontal="right" vertical="center" wrapText="1"/>
    </xf>
    <xf numFmtId="0" fontId="14" fillId="3" borderId="0" xfId="1" applyFont="1" applyFill="1" applyAlignment="1">
      <alignment horizontal="left" vertical="center"/>
    </xf>
    <xf numFmtId="165" fontId="16" fillId="4" borderId="3" xfId="1" applyNumberFormat="1" applyFont="1" applyFill="1" applyBorder="1" applyAlignment="1">
      <alignment horizontal="right" wrapText="1"/>
    </xf>
    <xf numFmtId="3" fontId="18" fillId="0" borderId="3" xfId="1" applyNumberFormat="1" applyFont="1" applyBorder="1" applyAlignment="1">
      <alignment horizontal="right" vertical="center" wrapText="1"/>
    </xf>
    <xf numFmtId="168" fontId="16" fillId="4" borderId="0" xfId="1" applyNumberFormat="1" applyFont="1" applyFill="1" applyAlignment="1">
      <alignment horizontal="right" wrapText="1"/>
    </xf>
    <xf numFmtId="165" fontId="29" fillId="4" borderId="0" xfId="1" applyNumberFormat="1" applyFont="1" applyFill="1" applyAlignment="1">
      <alignment horizontal="right" wrapText="1"/>
    </xf>
    <xf numFmtId="3" fontId="16" fillId="2" borderId="0" xfId="1" applyNumberFormat="1" applyFont="1" applyFill="1" applyAlignment="1">
      <alignment horizontal="right" vertical="center" wrapText="1"/>
    </xf>
    <xf numFmtId="3" fontId="16" fillId="4" borderId="0" xfId="1" applyNumberFormat="1" applyFont="1" applyFill="1" applyAlignment="1">
      <alignment horizontal="right" wrapText="1"/>
    </xf>
    <xf numFmtId="3" fontId="16" fillId="0" borderId="0" xfId="1" applyNumberFormat="1" applyFont="1" applyAlignment="1">
      <alignment horizontal="right" wrapText="1"/>
    </xf>
    <xf numFmtId="0" fontId="14" fillId="3" borderId="2" xfId="1" applyFont="1" applyFill="1" applyBorder="1" applyAlignment="1">
      <alignment horizontal="left" vertical="center" wrapText="1"/>
    </xf>
    <xf numFmtId="165" fontId="16" fillId="0" borderId="0" xfId="1" applyNumberFormat="1" applyFont="1" applyAlignment="1">
      <alignment horizontal="right" wrapText="1"/>
    </xf>
    <xf numFmtId="167" fontId="16" fillId="0" borderId="0" xfId="1" applyNumberFormat="1" applyFont="1" applyAlignment="1">
      <alignment horizontal="right" wrapText="1"/>
    </xf>
    <xf numFmtId="167" fontId="16" fillId="0" borderId="0" xfId="1" applyNumberFormat="1" applyFont="1" applyAlignment="1">
      <alignment horizontal="right" vertical="center" wrapText="1"/>
    </xf>
    <xf numFmtId="167" fontId="16" fillId="4" borderId="0" xfId="1" applyNumberFormat="1" applyFont="1" applyFill="1" applyAlignment="1">
      <alignment horizontal="right" wrapText="1"/>
    </xf>
    <xf numFmtId="168" fontId="24" fillId="4" borderId="7" xfId="1" applyNumberFormat="1" applyFont="1" applyFill="1" applyBorder="1" applyAlignment="1">
      <alignment horizontal="right" vertical="center" wrapText="1"/>
    </xf>
    <xf numFmtId="0" fontId="24" fillId="8" borderId="8" xfId="1" applyFont="1" applyFill="1" applyBorder="1" applyAlignment="1">
      <alignment horizontal="left" vertical="center"/>
    </xf>
    <xf numFmtId="0" fontId="24" fillId="8" borderId="0" xfId="1" applyFont="1" applyFill="1" applyAlignment="1">
      <alignment horizontal="right" vertical="center" wrapText="1"/>
    </xf>
    <xf numFmtId="0" fontId="24" fillId="8" borderId="7" xfId="1" applyFont="1" applyFill="1" applyBorder="1" applyAlignment="1">
      <alignment horizontal="right" vertical="center" wrapText="1"/>
    </xf>
    <xf numFmtId="0" fontId="24" fillId="8" borderId="12" xfId="1" applyFont="1" applyFill="1" applyBorder="1" applyAlignment="1">
      <alignment horizontal="left" vertical="center"/>
    </xf>
    <xf numFmtId="0" fontId="24" fillId="8" borderId="3" xfId="1" applyFont="1" applyFill="1" applyBorder="1" applyAlignment="1">
      <alignment horizontal="right" vertical="center" wrapText="1"/>
    </xf>
    <xf numFmtId="3" fontId="24" fillId="8" borderId="4" xfId="1" applyNumberFormat="1" applyFont="1" applyFill="1" applyBorder="1" applyAlignment="1">
      <alignment horizontal="right" vertical="center" wrapText="1"/>
    </xf>
    <xf numFmtId="0" fontId="24" fillId="3" borderId="17" xfId="1" applyFont="1" applyFill="1" applyBorder="1" applyAlignment="1">
      <alignment horizontal="left" vertical="center"/>
    </xf>
    <xf numFmtId="0" fontId="24" fillId="4" borderId="18" xfId="1" applyFont="1" applyFill="1" applyBorder="1" applyAlignment="1">
      <alignment horizontal="right" vertical="center" wrapText="1"/>
    </xf>
    <xf numFmtId="0" fontId="24" fillId="4" borderId="19" xfId="1" applyFont="1" applyFill="1" applyBorder="1" applyAlignment="1">
      <alignment horizontal="right" vertical="center" wrapText="1"/>
    </xf>
    <xf numFmtId="0" fontId="24" fillId="4" borderId="20" xfId="1" applyFont="1" applyFill="1" applyBorder="1" applyAlignment="1">
      <alignment horizontal="right" vertical="center" wrapText="1"/>
    </xf>
    <xf numFmtId="0" fontId="24" fillId="4" borderId="21" xfId="1" applyFont="1" applyFill="1" applyBorder="1" applyAlignment="1">
      <alignment horizontal="right" vertical="center" wrapText="1"/>
    </xf>
    <xf numFmtId="3" fontId="24" fillId="4" borderId="22" xfId="1" applyNumberFormat="1" applyFont="1" applyFill="1" applyBorder="1" applyAlignment="1">
      <alignment horizontal="right" vertical="center" wrapText="1"/>
    </xf>
    <xf numFmtId="0" fontId="24" fillId="4" borderId="8" xfId="1" applyFont="1" applyFill="1" applyBorder="1" applyAlignment="1">
      <alignment horizontal="right" vertical="center" wrapText="1"/>
    </xf>
    <xf numFmtId="167" fontId="24" fillId="4" borderId="8" xfId="1" applyNumberFormat="1" applyFont="1" applyFill="1" applyBorder="1" applyAlignment="1">
      <alignment horizontal="right" vertical="center" wrapText="1"/>
    </xf>
    <xf numFmtId="0" fontId="24" fillId="8" borderId="6" xfId="1" applyFont="1" applyFill="1" applyBorder="1" applyAlignment="1">
      <alignment horizontal="left" vertical="center"/>
    </xf>
    <xf numFmtId="3" fontId="24" fillId="8" borderId="1" xfId="1" applyNumberFormat="1" applyFont="1" applyFill="1" applyBorder="1" applyAlignment="1">
      <alignment horizontal="right" vertical="center" wrapText="1"/>
    </xf>
    <xf numFmtId="0" fontId="24" fillId="8" borderId="1" xfId="1" applyFont="1" applyFill="1" applyBorder="1" applyAlignment="1">
      <alignment horizontal="right" vertical="center" wrapText="1"/>
    </xf>
    <xf numFmtId="3" fontId="24" fillId="8" borderId="10" xfId="1" applyNumberFormat="1" applyFont="1" applyFill="1" applyBorder="1" applyAlignment="1">
      <alignment horizontal="right" vertical="center" wrapText="1"/>
    </xf>
    <xf numFmtId="0" fontId="24" fillId="4" borderId="9" xfId="1" applyFont="1" applyFill="1" applyBorder="1" applyAlignment="1">
      <alignment horizontal="right" vertical="center" wrapText="1"/>
    </xf>
    <xf numFmtId="0" fontId="2" fillId="3" borderId="1" xfId="1" applyFont="1" applyFill="1" applyBorder="1" applyAlignment="1">
      <alignment horizontal="left" vertical="center"/>
    </xf>
    <xf numFmtId="0" fontId="2" fillId="3" borderId="2" xfId="1" applyFont="1" applyFill="1" applyBorder="1" applyAlignment="1">
      <alignment horizontal="left" vertical="center"/>
    </xf>
    <xf numFmtId="0" fontId="2" fillId="3" borderId="1" xfId="1" applyFont="1" applyFill="1" applyBorder="1" applyAlignment="1">
      <alignment horizontal="right" vertical="center"/>
    </xf>
    <xf numFmtId="0" fontId="2" fillId="3" borderId="2" xfId="1" applyFont="1" applyFill="1" applyBorder="1" applyAlignment="1">
      <alignment horizontal="right" vertical="center"/>
    </xf>
    <xf numFmtId="0" fontId="2" fillId="4" borderId="1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top" wrapText="1"/>
    </xf>
    <xf numFmtId="0" fontId="4" fillId="0" borderId="0" xfId="1" applyFont="1" applyAlignment="1">
      <alignment horizontal="center" vertical="top" wrapText="1"/>
    </xf>
    <xf numFmtId="0" fontId="5" fillId="0" borderId="0" xfId="1" applyFont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left" vertical="center" wrapText="1"/>
    </xf>
    <xf numFmtId="164" fontId="16" fillId="4" borderId="1" xfId="1" applyNumberFormat="1" applyFont="1" applyFill="1" applyBorder="1" applyAlignment="1">
      <alignment horizontal="right" vertical="center" wrapText="1"/>
    </xf>
    <xf numFmtId="164" fontId="16" fillId="4" borderId="0" xfId="1" applyNumberFormat="1" applyFont="1" applyFill="1" applyAlignment="1">
      <alignment horizontal="right" vertical="center" wrapText="1"/>
    </xf>
    <xf numFmtId="0" fontId="16" fillId="4" borderId="1" xfId="1" applyFont="1" applyFill="1" applyBorder="1" applyAlignment="1">
      <alignment horizontal="right" vertical="center" wrapText="1"/>
    </xf>
    <xf numFmtId="0" fontId="16" fillId="4" borderId="0" xfId="1" applyFont="1" applyFill="1" applyAlignment="1">
      <alignment horizontal="right" vertical="center" wrapText="1"/>
    </xf>
    <xf numFmtId="0" fontId="2" fillId="0" borderId="0" xfId="1" applyFont="1" applyAlignment="1">
      <alignment horizontal="left" vertical="center" wrapText="1"/>
    </xf>
    <xf numFmtId="0" fontId="10" fillId="3" borderId="3" xfId="1" applyFont="1" applyFill="1" applyBorder="1" applyAlignment="1">
      <alignment horizontal="left" vertical="center" wrapText="1"/>
    </xf>
    <xf numFmtId="0" fontId="10" fillId="4" borderId="3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right" vertical="center" wrapText="1"/>
    </xf>
    <xf numFmtId="0" fontId="10" fillId="3" borderId="2" xfId="1" applyFont="1" applyFill="1" applyBorder="1" applyAlignment="1">
      <alignment horizontal="right" vertical="center" wrapText="1"/>
    </xf>
    <xf numFmtId="0" fontId="2" fillId="0" borderId="2" xfId="1" applyFont="1" applyBorder="1" applyAlignment="1">
      <alignment horizontal="left" vertical="center" wrapText="1"/>
    </xf>
    <xf numFmtId="0" fontId="18" fillId="3" borderId="3" xfId="1" applyFont="1" applyFill="1" applyBorder="1" applyAlignment="1">
      <alignment horizontal="left" vertical="center" wrapText="1"/>
    </xf>
    <xf numFmtId="0" fontId="14" fillId="4" borderId="3" xfId="1" applyFont="1" applyFill="1" applyBorder="1" applyAlignment="1">
      <alignment horizontal="center" vertical="center" wrapText="1"/>
    </xf>
    <xf numFmtId="0" fontId="20" fillId="2" borderId="0" xfId="1" applyFont="1" applyFill="1" applyAlignment="1">
      <alignment horizontal="left" vertical="center" wrapText="1"/>
    </xf>
    <xf numFmtId="0" fontId="21" fillId="6" borderId="1" xfId="1" applyFont="1" applyFill="1" applyBorder="1" applyAlignment="1">
      <alignment horizontal="justify" vertical="center"/>
    </xf>
    <xf numFmtId="0" fontId="21" fillId="6" borderId="0" xfId="1" applyFont="1" applyFill="1" applyAlignment="1">
      <alignment horizontal="justify" vertical="center"/>
    </xf>
    <xf numFmtId="0" fontId="22" fillId="4" borderId="4" xfId="1" applyFont="1" applyFill="1" applyBorder="1" applyAlignment="1">
      <alignment horizontal="center" vertical="center" wrapText="1"/>
    </xf>
    <xf numFmtId="0" fontId="22" fillId="4" borderId="3" xfId="1" applyFont="1" applyFill="1" applyBorder="1" applyAlignment="1">
      <alignment horizontal="center" vertical="center" wrapText="1"/>
    </xf>
    <xf numFmtId="0" fontId="20" fillId="2" borderId="3" xfId="1" applyFont="1" applyFill="1" applyBorder="1" applyAlignment="1">
      <alignment horizontal="left" vertical="center" wrapText="1"/>
    </xf>
    <xf numFmtId="0" fontId="10" fillId="4" borderId="0" xfId="1" applyFont="1" applyFill="1" applyAlignment="1">
      <alignment horizontal="left" vertical="center"/>
    </xf>
    <xf numFmtId="0" fontId="10" fillId="4" borderId="0" xfId="1" applyFont="1" applyFill="1" applyAlignment="1">
      <alignment horizontal="right" vertical="center" wrapText="1"/>
    </xf>
    <xf numFmtId="0" fontId="6" fillId="2" borderId="0" xfId="1" applyFont="1" applyFill="1" applyAlignment="1">
      <alignment horizontal="left" vertical="center" wrapText="1"/>
    </xf>
    <xf numFmtId="0" fontId="28" fillId="2" borderId="0" xfId="1" applyFont="1" applyFill="1" applyAlignment="1">
      <alignment horizontal="left" vertical="center"/>
    </xf>
    <xf numFmtId="0" fontId="6" fillId="0" borderId="2" xfId="1" applyFont="1" applyBorder="1" applyAlignment="1">
      <alignment horizontal="left" vertical="center" wrapText="1"/>
    </xf>
    <xf numFmtId="0" fontId="21" fillId="6" borderId="2" xfId="1" applyFont="1" applyFill="1" applyBorder="1" applyAlignment="1">
      <alignment horizontal="justify" vertical="center"/>
    </xf>
    <xf numFmtId="0" fontId="30" fillId="4" borderId="15" xfId="1" applyFont="1" applyFill="1" applyBorder="1" applyAlignment="1">
      <alignment horizontal="right" textRotation="90" wrapText="1"/>
    </xf>
    <xf numFmtId="0" fontId="30" fillId="4" borderId="16" xfId="1" applyFont="1" applyFill="1" applyBorder="1" applyAlignment="1">
      <alignment horizontal="right" textRotation="90" wrapText="1"/>
    </xf>
    <xf numFmtId="0" fontId="30" fillId="4" borderId="10" xfId="1" applyFont="1" applyFill="1" applyBorder="1" applyAlignment="1">
      <alignment horizontal="right" textRotation="90" wrapText="1"/>
    </xf>
    <xf numFmtId="0" fontId="30" fillId="4" borderId="11" xfId="1" applyFont="1" applyFill="1" applyBorder="1" applyAlignment="1">
      <alignment horizontal="right" textRotation="90" wrapText="1"/>
    </xf>
  </cellXfs>
  <cellStyles count="3">
    <cellStyle name="Dziesiętny 2" xfId="2" xr:uid="{75C748FE-3C97-404D-A309-6C5DB30D20F1}"/>
    <cellStyle name="Normalny" xfId="0" builtinId="0"/>
    <cellStyle name="Normalny 2" xfId="1" xr:uid="{1D55BBA2-25D3-4410-B279-2FE56FDAF8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201295</xdr:colOff>
      <xdr:row>67</xdr:row>
      <xdr:rowOff>0</xdr:rowOff>
    </xdr:from>
    <xdr:to>
      <xdr:col>3</xdr:col>
      <xdr:colOff>762000</xdr:colOff>
      <xdr:row>74</xdr:row>
      <xdr:rowOff>114300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DF69113C-6EED-46C2-BD67-9D3C13DFB9A8}"/>
            </a:ext>
          </a:extLst>
        </xdr:cNvPr>
        <xdr:cNvSpPr txBox="1"/>
      </xdr:nvSpPr>
      <xdr:spPr>
        <a:xfrm>
          <a:off x="201295" y="11277600"/>
          <a:ext cx="5504180" cy="1447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pl-PL" sz="105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l-PL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</a:t>
          </a: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Rafał Styczeń                                     Grzegorz Młynarczyk                                 Marcin</a:t>
          </a:r>
          <a:r>
            <a:rPr lang="pl-PL" sz="1100" i="1" baseline="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Dąbrowski</a:t>
          </a: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            Prezes  Zarządu                                     Wiceprezes Zarządu                                   Członek</a:t>
          </a:r>
          <a:r>
            <a:rPr lang="pl-PL" sz="1100" i="1" baseline="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Zarządu          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		                                                                     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				                                                                              				 </a:t>
          </a:r>
          <a:r>
            <a:rPr lang="pl-PL" sz="1100" i="1" baseline="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      </a:t>
          </a: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Sporządzający: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Piotr Skrabski                                             Tomasz</a:t>
          </a:r>
          <a:r>
            <a:rPr lang="pl-PL" sz="1100" i="1" baseline="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Krół</a:t>
          </a: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       Daria Ślęzak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Członek Zarządu                                      Członek Zarządu                                   Główny Księgowy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57150</xdr:colOff>
      <xdr:row>0</xdr:row>
      <xdr:rowOff>40005</xdr:rowOff>
    </xdr:from>
    <xdr:to>
      <xdr:col>0</xdr:col>
      <xdr:colOff>363687</xdr:colOff>
      <xdr:row>1</xdr:row>
      <xdr:rowOff>116422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354313C-03E3-42C4-9E8C-F2F8336990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40005"/>
          <a:ext cx="306537" cy="4574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0</xdr:rowOff>
    </xdr:from>
    <xdr:to>
      <xdr:col>4</xdr:col>
      <xdr:colOff>409575</xdr:colOff>
      <xdr:row>73</xdr:row>
      <xdr:rowOff>114300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F972051E-111C-426E-AFE8-BC6D407F607F}"/>
            </a:ext>
          </a:extLst>
        </xdr:cNvPr>
        <xdr:cNvSpPr txBox="1"/>
      </xdr:nvSpPr>
      <xdr:spPr>
        <a:xfrm>
          <a:off x="0" y="10315575"/>
          <a:ext cx="6400800" cy="1257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pl-PL" sz="105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l-PL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</a:t>
          </a: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Rafał Styczeń                                     Grzegorz Młynarczyk                                  Marcin</a:t>
          </a:r>
          <a:r>
            <a:rPr lang="pl-PL" sz="1100" i="1" baseline="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Dąbrowski</a:t>
          </a: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            Prezes  Zarządu                                     Wiceprezes Zarządu                                      Członek Zarządu          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		                                                                     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				                                                                              					                  Sporządzający: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Piotr Skrabski                                              Tomasz</a:t>
          </a:r>
          <a:r>
            <a:rPr lang="pl-PL" sz="1100" i="1" baseline="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Król</a:t>
          </a: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      Daria Ślęzak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Członek Zarządu                                      Członek Zarządu                                   Główny Księgowy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77</xdr:row>
      <xdr:rowOff>205740</xdr:rowOff>
    </xdr:from>
    <xdr:to>
      <xdr:col>2</xdr:col>
      <xdr:colOff>929640</xdr:colOff>
      <xdr:row>81</xdr:row>
      <xdr:rowOff>335280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9A1A4895-A899-476A-8AD6-CAB8AB191345}"/>
            </a:ext>
          </a:extLst>
        </xdr:cNvPr>
        <xdr:cNvSpPr txBox="1"/>
      </xdr:nvSpPr>
      <xdr:spPr>
        <a:xfrm>
          <a:off x="129540" y="12073890"/>
          <a:ext cx="5467350" cy="12630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pl-PL" sz="105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l-PL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</a:t>
          </a: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Rafał Styczeń                                     Grzegorz Młynarczyk                                Marcin</a:t>
          </a:r>
          <a:r>
            <a:rPr lang="pl-PL" sz="1100" i="1" baseline="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Dąbrowski</a:t>
          </a: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            Prezes  Zarządu                                     Wiceprezes Zarządu                                   Członek Zarządu 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				                                                                              				                   Sporządzający:</a:t>
          </a:r>
        </a:p>
        <a:p>
          <a:pPr>
            <a:spcAft>
              <a:spcPts val="0"/>
            </a:spcAft>
          </a:pP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Piotr Skrabski                                          Tomasz</a:t>
          </a:r>
          <a:r>
            <a:rPr lang="pl-PL" sz="1100" i="1" baseline="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Król</a:t>
          </a: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</a:t>
          </a:r>
          <a:r>
            <a:rPr lang="pl-PL" sz="1100" i="1" baseline="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</a:t>
          </a: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Daria Ślęzak </a:t>
          </a:r>
        </a:p>
        <a:p>
          <a:pPr>
            <a:spcAft>
              <a:spcPts val="0"/>
            </a:spcAft>
          </a:pP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Członek Zarządu                                    Członek Zarządu                                    Główny Księgowy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64</xdr:row>
      <xdr:rowOff>57150</xdr:rowOff>
    </xdr:from>
    <xdr:to>
      <xdr:col>7</xdr:col>
      <xdr:colOff>281940</xdr:colOff>
      <xdr:row>70</xdr:row>
      <xdr:rowOff>50800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A44F1397-2EA5-4A64-A27E-E296F4D8C3E5}"/>
            </a:ext>
          </a:extLst>
        </xdr:cNvPr>
        <xdr:cNvSpPr txBox="1"/>
      </xdr:nvSpPr>
      <xdr:spPr>
        <a:xfrm>
          <a:off x="279400" y="7553325"/>
          <a:ext cx="5803265" cy="1374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pl-PL" sz="105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l-PL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</a:t>
          </a: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Rafał Styczeń                                     Grzegorz Młynarczyk                                 Marcin</a:t>
          </a:r>
          <a:r>
            <a:rPr lang="pl-PL" sz="1100" i="1" baseline="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Dąbrowski</a:t>
          </a: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        Prezes  Zarządu                                     Wiceprezes Zarządu                                   Członek Zarządu 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				                                                                              				                  Sporządzający:</a:t>
          </a:r>
        </a:p>
        <a:p>
          <a:pPr>
            <a:spcAft>
              <a:spcPts val="0"/>
            </a:spcAft>
          </a:pP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Piotr Skrabski                                          Tomasz</a:t>
          </a:r>
          <a:r>
            <a:rPr lang="pl-PL" sz="1100" i="1" baseline="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Król</a:t>
          </a: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</a:t>
          </a:r>
          <a:r>
            <a:rPr lang="pl-PL" sz="1100" i="1" baseline="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</a:t>
          </a: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Daria Ślęzak </a:t>
          </a:r>
        </a:p>
        <a:p>
          <a:pPr>
            <a:spcAft>
              <a:spcPts val="0"/>
            </a:spcAft>
          </a:pP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Członek Zarządu                                    Członek Zarządu                                     Główny Księgowy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278423</xdr:colOff>
      <xdr:row>67</xdr:row>
      <xdr:rowOff>14654</xdr:rowOff>
    </xdr:from>
    <xdr:to>
      <xdr:col>3</xdr:col>
      <xdr:colOff>936381</xdr:colOff>
      <xdr:row>75</xdr:row>
      <xdr:rowOff>87679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58B9131-F777-453F-9C1C-59131DC8F7C5}"/>
            </a:ext>
          </a:extLst>
        </xdr:cNvPr>
        <xdr:cNvSpPr txBox="1"/>
      </xdr:nvSpPr>
      <xdr:spPr>
        <a:xfrm>
          <a:off x="278423" y="11368454"/>
          <a:ext cx="5563333" cy="1597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pl-PL" sz="105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l-PL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</a:t>
          </a: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Rafał Styczeń                                     Grzegorz Młynarczyk                     Marcin</a:t>
          </a:r>
          <a:r>
            <a:rPr lang="pl-PL" sz="1100" i="1" baseline="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Dąbrowski</a:t>
          </a: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            Prezes  Zarządu                                     Wiceprezes Zarządu                      Członek Zarządu          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		                                                                     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				        Sporządzający:                                                                                           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Piotr Skrabski                                             Tomasz</a:t>
          </a:r>
          <a:r>
            <a:rPr lang="pl-PL" sz="1100" i="1" baseline="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Król</a:t>
          </a: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Daria Ślęzak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Członek Zarządu                                      Członek Zarządu                         Główny Księgowy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53339</xdr:colOff>
      <xdr:row>0</xdr:row>
      <xdr:rowOff>40006</xdr:rowOff>
    </xdr:from>
    <xdr:to>
      <xdr:col>0</xdr:col>
      <xdr:colOff>305339</xdr:colOff>
      <xdr:row>1</xdr:row>
      <xdr:rowOff>81067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3D526C44-0983-43F8-81F6-24EA776DE65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39" y="40006"/>
          <a:ext cx="252000" cy="42206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249116</xdr:colOff>
      <xdr:row>72</xdr:row>
      <xdr:rowOff>29307</xdr:rowOff>
    </xdr:from>
    <xdr:to>
      <xdr:col>3</xdr:col>
      <xdr:colOff>545612</xdr:colOff>
      <xdr:row>80</xdr:row>
      <xdr:rowOff>102332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915484F4-316F-4432-ACF3-CD4003FAD87A}"/>
            </a:ext>
          </a:extLst>
        </xdr:cNvPr>
        <xdr:cNvSpPr txBox="1"/>
      </xdr:nvSpPr>
      <xdr:spPr>
        <a:xfrm>
          <a:off x="249116" y="11745057"/>
          <a:ext cx="5573346" cy="1597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pl-PL" sz="105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l-PL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</a:t>
          </a: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Rafał Styczeń                                     Grzegorz Młynarczyk                             Marcin</a:t>
          </a:r>
          <a:r>
            <a:rPr lang="pl-PL" sz="1100" i="1" baseline="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Dąbrowski</a:t>
          </a: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            Prezes  Zarządu                                     Wiceprezes Zarządu                              Członek</a:t>
          </a:r>
          <a:r>
            <a:rPr lang="pl-PL" sz="1100" i="1" baseline="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Zarządu          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		                                                                     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				                    Sporządzający:                                                                                           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Piotr Skrabski                                             Tomasz</a:t>
          </a:r>
          <a:r>
            <a:rPr lang="pl-PL" sz="1100" i="1" baseline="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Król</a:t>
          </a: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        Daria Ślęzak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Członek Zarządu                                      Członek Zarządu                                   Główny Księgowy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80</xdr:row>
      <xdr:rowOff>1</xdr:rowOff>
    </xdr:from>
    <xdr:to>
      <xdr:col>2</xdr:col>
      <xdr:colOff>879231</xdr:colOff>
      <xdr:row>86</xdr:row>
      <xdr:rowOff>197828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F7ECB27A-1746-4E72-B058-53CF73E25DBA}"/>
            </a:ext>
          </a:extLst>
        </xdr:cNvPr>
        <xdr:cNvSpPr txBox="1"/>
      </xdr:nvSpPr>
      <xdr:spPr>
        <a:xfrm>
          <a:off x="0" y="13144501"/>
          <a:ext cx="5222631" cy="14456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pl-PL" sz="105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l-PL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</a:t>
          </a: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Rafał Styczeń                                     Grzegorz Młynarczyk                     Marcin</a:t>
          </a:r>
          <a:r>
            <a:rPr lang="pl-PL" sz="1100" i="1" baseline="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Dąbrowski</a:t>
          </a: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           Prezes  Zarządu                                     Wiceprezes Zarządu                      Członek Zarządu          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		                                                                     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				                                                                                                   </a:t>
          </a:r>
          <a:r>
            <a:rPr lang="pl-PL" sz="1100" i="1" baseline="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</a:t>
          </a: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                                                                                               				</a:t>
          </a:r>
          <a:r>
            <a:rPr lang="pl-PL" sz="1100" i="1" baseline="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</a:t>
          </a: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Sporządzający: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Piotr Skrabski                                              Tomasz</a:t>
          </a:r>
          <a:r>
            <a:rPr lang="pl-PL" sz="1100" i="1" baseline="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Król</a:t>
          </a: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Daria Ślęzak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Członek Zarządu                                      Członek Zarządu                          Główny Księgowy                       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0</xdr:rowOff>
    </xdr:from>
    <xdr:to>
      <xdr:col>7</xdr:col>
      <xdr:colOff>258484</xdr:colOff>
      <xdr:row>77</xdr:row>
      <xdr:rowOff>57150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877A3314-73FD-4829-8370-A0E6A5A2A9F8}"/>
            </a:ext>
          </a:extLst>
        </xdr:cNvPr>
        <xdr:cNvSpPr txBox="1"/>
      </xdr:nvSpPr>
      <xdr:spPr>
        <a:xfrm>
          <a:off x="0" y="6705600"/>
          <a:ext cx="5373409" cy="1447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pl-PL" sz="105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l-PL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</a:t>
          </a: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Rafał Styczeń                                     Grzegorz Młynarczyk                     Marcin</a:t>
          </a:r>
          <a:r>
            <a:rPr lang="pl-PL" sz="1100" i="1" baseline="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Dąbrowski</a:t>
          </a: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           Prezes  Zarządu                                     Wiceprezes Zarządu                      Członek Zarządu          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		                                                                     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				                                                                                                   </a:t>
          </a:r>
          <a:r>
            <a:rPr lang="pl-PL" sz="1100" i="1" baseline="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</a:t>
          </a: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                                                                                               				</a:t>
          </a:r>
          <a:r>
            <a:rPr lang="pl-PL" sz="1100" i="1" baseline="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</a:t>
          </a: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Sporządzający: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Piotr Skrabski                                              Tomasz</a:t>
          </a:r>
          <a:r>
            <a:rPr lang="pl-PL" sz="1100" i="1" baseline="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Król</a:t>
          </a: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Daria Ślęzak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l-PL" sz="1100" i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Członek Zarządu                                      Członek Zarządu                      Główny Księgowy                       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9EF90E4\Kopia%20Audyt-Pro%205.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rbara%20Jamr&#243;z/AppData/Local/Microsoft/Windows/INetCache/Content.Outlook/9FYT0FUU/Akson/Befado/Befado/DO%20BADANIA%202008/REWIT%20Po&#322;udnie%20-%20Spr.Fin.%20ver.%201.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rbara%20Jamr&#243;z/AppData/Local/Microsoft/Windows/INetCache/Content.Outlook/9FYT0FUU/Akson/Befado/Befado/DO%20BADANIA%202008/DO%20BADANIA%202008/sprawozdania%20finansowe/REWIT%20-%20Spr.Fin.%20ver.%201.1%20po%20zmianach%20A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indmobile.pl/Documents%20and%20Settings/Pawe&#322;%20Przybysz/Ustawienia%20lokalne/Temporary%20Internet%20Files/OLK69/Kopia%20Audyt-Pro%205.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indmobile.pl/Documents%20and%20Settings/ratajczak/Moje%20dokumenty/Praca/Audyt%202001/!Standardy/Audyt-Pro%2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welina.talik/Pulpit/Nord%2030.6.2011/poprawione_Murapol_Nord_sp._z_o.o._Sp._komandytowa_-_Sp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indmobile.pl/Pa-In%203.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illeron%20Nowy\Sprawozdawczo&#347;&#263;\2020\2020-%20RJ\Kopia%20SF_2020_jedn%20po%20uwagach%20Bieg&#322;ych%202021-04-27%20(002)vDAS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"/>
      <sheetName val="SF"/>
      <sheetName val="BO"/>
      <sheetName val="SF2"/>
      <sheetName val="OP-k"/>
      <sheetName val="SpPSF"/>
      <sheetName val="UWR"/>
      <sheetName val="ORB"/>
      <sheetName val="ICz"/>
      <sheetName val="ICz-2"/>
      <sheetName val="PAB"/>
      <sheetName val="PAR"/>
      <sheetName val="PAAW"/>
      <sheetName val="Indeks"/>
      <sheetName val="P4"/>
      <sheetName val="P5"/>
      <sheetName val="A1"/>
      <sheetName val="A2"/>
      <sheetName val="A3"/>
      <sheetName val="A4"/>
      <sheetName val="B5"/>
      <sheetName val="B6"/>
      <sheetName val="C7"/>
      <sheetName val="D8"/>
      <sheetName val="WN"/>
      <sheetName val="ST"/>
      <sheetName val="A.ST"/>
      <sheetName val="A.WN"/>
      <sheetName val="PDF"/>
      <sheetName val="ZUS"/>
      <sheetName val="FRON"/>
      <sheetName val="FRON-dane"/>
      <sheetName val="PDP"/>
      <sheetName val="OPD1"/>
      <sheetName val="OPD2"/>
      <sheetName val="OPD3"/>
      <sheetName val="K"/>
      <sheetName val="K.S"/>
      <sheetName val="BA"/>
      <sheetName val="BP"/>
      <sheetName val="RK"/>
      <sheetName val="RP"/>
      <sheetName val="CF"/>
      <sheetName val="CF2"/>
      <sheetName val="Z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TĘP"/>
      <sheetName val="INSTRUKCJA"/>
      <sheetName val="Lista TABEL"/>
      <sheetName val="WPROWADZENIE"/>
      <sheetName val="B-A"/>
      <sheetName val="B-P"/>
      <sheetName val="RZiS - P"/>
      <sheetName val="RZiS - K"/>
      <sheetName val="ZK"/>
      <sheetName val="CF - B"/>
      <sheetName val="CF - P"/>
      <sheetName val="TABELE cz.I"/>
      <sheetName val="TABELE cz.II"/>
      <sheetName val="TABELE cz.III"/>
      <sheetName val="TABELE cz.IV"/>
      <sheetName val="TABELE cz.V"/>
      <sheetName val="TABELE cz.VI"/>
      <sheetName val="TABELE cz.VII"/>
      <sheetName val="TABELE cz.VIII"/>
      <sheetName val="TABELE cz.IX"/>
      <sheetName val="TABELE dowolne"/>
    </sheetNames>
    <sheetDataSet>
      <sheetData sheetId="0" refreshError="1">
        <row r="2">
          <cell r="IU2" t="str">
            <v>[nazwa jednostki]</v>
          </cell>
        </row>
        <row r="3">
          <cell r="IU3" t="str">
            <v>[forma prawna]</v>
          </cell>
        </row>
        <row r="5">
          <cell r="IU5" t="str">
            <v>[ulica, nr budynku, nr lokalu]</v>
          </cell>
        </row>
        <row r="6">
          <cell r="IU6" t="str">
            <v>[kod pocztowy] [miejscowość]</v>
          </cell>
        </row>
        <row r="8">
          <cell r="IU8" t="str">
            <v>[miejscowość]</v>
          </cell>
        </row>
        <row r="9">
          <cell r="IU9" t="str">
            <v>dd.mm.rrrr</v>
          </cell>
        </row>
        <row r="13">
          <cell r="IU13" t="str">
            <v>dd.mm.rrrr</v>
          </cell>
        </row>
        <row r="15">
          <cell r="IU15" t="str">
            <v>dd.mm.rrrr</v>
          </cell>
        </row>
        <row r="16">
          <cell r="IU16" t="str">
            <v xml:space="preserve"> od ……. do …….</v>
          </cell>
        </row>
        <row r="18">
          <cell r="IU18" t="str">
            <v xml:space="preserve"> od ……. do …….</v>
          </cell>
        </row>
        <row r="78">
          <cell r="IU78" t="str">
            <v>[miejscowość], [data sporządzenia]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TĘP"/>
      <sheetName val="INSTRUKCJA"/>
      <sheetName val="Lista TABEL"/>
      <sheetName val="WPROWADZENIE"/>
      <sheetName val="B-A"/>
      <sheetName val="B-P"/>
      <sheetName val="RZiS - P"/>
      <sheetName val="RZiS - K"/>
      <sheetName val="ZK"/>
      <sheetName val="CF - B"/>
      <sheetName val="CF - P"/>
      <sheetName val="TABELE cz.I"/>
      <sheetName val="TABELE cz.II"/>
      <sheetName val="TABELE cz.III"/>
      <sheetName val="TABELE cz.IV"/>
      <sheetName val="TABELE cz.V"/>
      <sheetName val="TABELE cz.VI"/>
      <sheetName val="TABELE cz.VII"/>
      <sheetName val="TABELE cz.VIII"/>
      <sheetName val="TABELE cz.IX"/>
      <sheetName val="TABELE dowolne"/>
    </sheetNames>
    <sheetDataSet>
      <sheetData sheetId="0">
        <row r="9">
          <cell r="IU9" t="str">
            <v>dd.mm.rrrr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"/>
      <sheetName val="SF"/>
      <sheetName val="BO"/>
      <sheetName val="SF2"/>
      <sheetName val="OP-k"/>
      <sheetName val="SpPSF"/>
      <sheetName val="UWR"/>
      <sheetName val="ORB"/>
      <sheetName val="ICz"/>
      <sheetName val="ICz-2"/>
      <sheetName val="PAB"/>
      <sheetName val="PAR"/>
      <sheetName val="PAAW"/>
      <sheetName val="Indeks"/>
      <sheetName val="P4"/>
      <sheetName val="P5"/>
      <sheetName val="A1"/>
      <sheetName val="A2"/>
      <sheetName val="A3"/>
      <sheetName val="A4"/>
      <sheetName val="B5"/>
      <sheetName val="B6"/>
      <sheetName val="C7"/>
      <sheetName val="D8"/>
      <sheetName val="WN"/>
      <sheetName val="ST"/>
      <sheetName val="A.ST"/>
      <sheetName val="A.WN"/>
      <sheetName val="PDF"/>
      <sheetName val="ZUS"/>
      <sheetName val="FRON"/>
      <sheetName val="FRON-dane"/>
      <sheetName val="PDP"/>
      <sheetName val="OPD1"/>
      <sheetName val="OPD2"/>
      <sheetName val="OPD3"/>
      <sheetName val="K"/>
      <sheetName val="K.S"/>
      <sheetName val="BA"/>
      <sheetName val="BP"/>
      <sheetName val="RK"/>
      <sheetName val="RP"/>
      <sheetName val="CF"/>
      <sheetName val="CF2"/>
      <sheetName val="Z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"/>
      <sheetName val="SF"/>
      <sheetName val="UWR"/>
      <sheetName val="ORB"/>
      <sheetName val="ICz"/>
      <sheetName val="PAB"/>
      <sheetName val="PAR"/>
      <sheetName val="PAAW"/>
      <sheetName val="ST.WN"/>
      <sheetName val="ST+-"/>
      <sheetName val="WN"/>
      <sheetName val="ST"/>
      <sheetName val="A.ST"/>
      <sheetName val="A.WN"/>
      <sheetName val="Rez"/>
      <sheetName val="PDF"/>
      <sheetName val="VAT"/>
      <sheetName val="FRON"/>
      <sheetName val="ZFSS"/>
      <sheetName val="KR"/>
      <sheetName val="RKK"/>
      <sheetName val="POiF"/>
      <sheetName val="PDP"/>
      <sheetName val="OPD"/>
      <sheetName val="K"/>
      <sheetName val="K.S"/>
      <sheetName val="B"/>
      <sheetName val="R1"/>
      <sheetName val="R2"/>
      <sheetName val="R3"/>
      <sheetName val="R4"/>
      <sheetName val="CF"/>
      <sheetName val="RAP"/>
      <sheetName val="TKS"/>
      <sheetName val="INFO"/>
    </sheetNames>
    <sheetDataSet>
      <sheetData sheetId="0"/>
      <sheetData sheetId="1" refreshError="1"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  <row r="40">
          <cell r="C40">
            <v>0</v>
          </cell>
          <cell r="D40">
            <v>0</v>
          </cell>
        </row>
        <row r="41">
          <cell r="C41">
            <v>0</v>
          </cell>
          <cell r="D41">
            <v>0</v>
          </cell>
        </row>
        <row r="42">
          <cell r="C42">
            <v>0</v>
          </cell>
          <cell r="D42">
            <v>0</v>
          </cell>
        </row>
        <row r="44">
          <cell r="C44">
            <v>0</v>
          </cell>
          <cell r="D44">
            <v>0</v>
          </cell>
        </row>
        <row r="45">
          <cell r="C45">
            <v>0</v>
          </cell>
          <cell r="D45">
            <v>0</v>
          </cell>
        </row>
        <row r="47">
          <cell r="C47">
            <v>0</v>
          </cell>
          <cell r="D47">
            <v>0</v>
          </cell>
        </row>
        <row r="48">
          <cell r="C48">
            <v>0</v>
          </cell>
          <cell r="D48">
            <v>0</v>
          </cell>
        </row>
        <row r="49">
          <cell r="C49">
            <v>0</v>
          </cell>
          <cell r="D49">
            <v>0</v>
          </cell>
        </row>
        <row r="51">
          <cell r="C51">
            <v>0</v>
          </cell>
          <cell r="D51">
            <v>0</v>
          </cell>
        </row>
        <row r="52">
          <cell r="C52">
            <v>0</v>
          </cell>
          <cell r="D52">
            <v>0</v>
          </cell>
        </row>
        <row r="60">
          <cell r="C60">
            <v>0</v>
          </cell>
          <cell r="D60">
            <v>0</v>
          </cell>
        </row>
        <row r="61">
          <cell r="C61">
            <v>0</v>
          </cell>
          <cell r="D61">
            <v>0</v>
          </cell>
        </row>
        <row r="63">
          <cell r="C63">
            <v>0</v>
          </cell>
          <cell r="D63">
            <v>0</v>
          </cell>
        </row>
        <row r="64">
          <cell r="C64">
            <v>0</v>
          </cell>
          <cell r="D64">
            <v>0</v>
          </cell>
        </row>
        <row r="65">
          <cell r="C65">
            <v>0</v>
          </cell>
          <cell r="D65">
            <v>0</v>
          </cell>
        </row>
        <row r="66">
          <cell r="C66">
            <v>0</v>
          </cell>
          <cell r="D66">
            <v>0</v>
          </cell>
        </row>
        <row r="67">
          <cell r="C67">
            <v>0</v>
          </cell>
          <cell r="D67">
            <v>0</v>
          </cell>
        </row>
        <row r="68">
          <cell r="C68">
            <v>0</v>
          </cell>
          <cell r="D68">
            <v>0</v>
          </cell>
        </row>
        <row r="69">
          <cell r="C69">
            <v>0</v>
          </cell>
          <cell r="D69">
            <v>0</v>
          </cell>
        </row>
        <row r="71">
          <cell r="C71">
            <v>0</v>
          </cell>
          <cell r="D71">
            <v>0</v>
          </cell>
        </row>
        <row r="72">
          <cell r="C72">
            <v>0</v>
          </cell>
          <cell r="D72">
            <v>0</v>
          </cell>
        </row>
        <row r="74">
          <cell r="C74">
            <v>0</v>
          </cell>
          <cell r="D74">
            <v>0</v>
          </cell>
        </row>
        <row r="75">
          <cell r="C75">
            <v>0</v>
          </cell>
          <cell r="D75">
            <v>0</v>
          </cell>
        </row>
        <row r="77">
          <cell r="C77">
            <v>0</v>
          </cell>
          <cell r="D77">
            <v>0</v>
          </cell>
        </row>
        <row r="78">
          <cell r="C78">
            <v>0</v>
          </cell>
          <cell r="D78">
            <v>0</v>
          </cell>
        </row>
        <row r="80">
          <cell r="C80">
            <v>0</v>
          </cell>
          <cell r="D80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  <row r="85">
          <cell r="C85">
            <v>0</v>
          </cell>
          <cell r="D85">
            <v>0</v>
          </cell>
        </row>
        <row r="86">
          <cell r="C86">
            <v>0</v>
          </cell>
          <cell r="D86">
            <v>0</v>
          </cell>
        </row>
        <row r="87">
          <cell r="C87">
            <v>0</v>
          </cell>
          <cell r="D87">
            <v>0</v>
          </cell>
        </row>
        <row r="88">
          <cell r="C88">
            <v>0</v>
          </cell>
          <cell r="D88">
            <v>0</v>
          </cell>
        </row>
        <row r="89">
          <cell r="C89">
            <v>0</v>
          </cell>
          <cell r="D89">
            <v>0</v>
          </cell>
        </row>
        <row r="90">
          <cell r="C90">
            <v>0</v>
          </cell>
          <cell r="D90">
            <v>0</v>
          </cell>
        </row>
        <row r="91">
          <cell r="C91">
            <v>0</v>
          </cell>
          <cell r="D91">
            <v>0</v>
          </cell>
        </row>
        <row r="92">
          <cell r="C92">
            <v>0</v>
          </cell>
          <cell r="D92">
            <v>0</v>
          </cell>
        </row>
        <row r="93">
          <cell r="C93">
            <v>0</v>
          </cell>
          <cell r="D93">
            <v>0</v>
          </cell>
        </row>
        <row r="94">
          <cell r="C94">
            <v>0</v>
          </cell>
          <cell r="D94">
            <v>0</v>
          </cell>
        </row>
        <row r="96">
          <cell r="C96">
            <v>0</v>
          </cell>
          <cell r="D96">
            <v>0</v>
          </cell>
        </row>
        <row r="97">
          <cell r="C97">
            <v>0</v>
          </cell>
          <cell r="D97">
            <v>0</v>
          </cell>
        </row>
        <row r="105">
          <cell r="C105">
            <v>0</v>
          </cell>
          <cell r="D105">
            <v>0</v>
          </cell>
        </row>
        <row r="106">
          <cell r="C106">
            <v>0</v>
          </cell>
          <cell r="D106">
            <v>0</v>
          </cell>
        </row>
        <row r="107">
          <cell r="C107">
            <v>0</v>
          </cell>
          <cell r="D107">
            <v>0</v>
          </cell>
        </row>
        <row r="108">
          <cell r="C108">
            <v>0</v>
          </cell>
          <cell r="D108">
            <v>0</v>
          </cell>
        </row>
        <row r="110">
          <cell r="C110">
            <v>0</v>
          </cell>
          <cell r="D110">
            <v>0</v>
          </cell>
        </row>
        <row r="111">
          <cell r="C111">
            <v>0</v>
          </cell>
          <cell r="D111">
            <v>0</v>
          </cell>
        </row>
        <row r="112">
          <cell r="C112">
            <v>0</v>
          </cell>
          <cell r="D112">
            <v>0</v>
          </cell>
        </row>
        <row r="113">
          <cell r="C113">
            <v>0</v>
          </cell>
          <cell r="D113">
            <v>0</v>
          </cell>
        </row>
        <row r="114">
          <cell r="C114">
            <v>0</v>
          </cell>
          <cell r="D114">
            <v>0</v>
          </cell>
        </row>
        <row r="115">
          <cell r="C115">
            <v>0</v>
          </cell>
          <cell r="D115">
            <v>0</v>
          </cell>
        </row>
        <row r="116">
          <cell r="C116">
            <v>0</v>
          </cell>
          <cell r="D116">
            <v>0</v>
          </cell>
        </row>
        <row r="117">
          <cell r="C117">
            <v>0</v>
          </cell>
          <cell r="D117">
            <v>0</v>
          </cell>
        </row>
        <row r="120">
          <cell r="C120">
            <v>0</v>
          </cell>
          <cell r="D120">
            <v>0</v>
          </cell>
        </row>
        <row r="121">
          <cell r="C121">
            <v>0</v>
          </cell>
          <cell r="D121">
            <v>0</v>
          </cell>
        </row>
        <row r="122">
          <cell r="C122">
            <v>0</v>
          </cell>
          <cell r="D122">
            <v>0</v>
          </cell>
        </row>
        <row r="124">
          <cell r="C124">
            <v>0</v>
          </cell>
          <cell r="D124">
            <v>0</v>
          </cell>
        </row>
        <row r="125">
          <cell r="C125">
            <v>0</v>
          </cell>
          <cell r="D125">
            <v>0</v>
          </cell>
        </row>
        <row r="128">
          <cell r="C128">
            <v>0</v>
          </cell>
          <cell r="D128">
            <v>0</v>
          </cell>
        </row>
        <row r="129">
          <cell r="C129">
            <v>0</v>
          </cell>
          <cell r="D129">
            <v>0</v>
          </cell>
        </row>
        <row r="130">
          <cell r="C130">
            <v>0</v>
          </cell>
          <cell r="D130">
            <v>0</v>
          </cell>
        </row>
        <row r="131">
          <cell r="C131">
            <v>0</v>
          </cell>
          <cell r="D131">
            <v>0</v>
          </cell>
        </row>
        <row r="133">
          <cell r="C133">
            <v>0</v>
          </cell>
          <cell r="D133">
            <v>0</v>
          </cell>
        </row>
        <row r="134">
          <cell r="C134">
            <v>0</v>
          </cell>
          <cell r="D134">
            <v>0</v>
          </cell>
        </row>
        <row r="135">
          <cell r="C135">
            <v>0</v>
          </cell>
          <cell r="D135">
            <v>0</v>
          </cell>
        </row>
        <row r="136">
          <cell r="C136">
            <v>0</v>
          </cell>
          <cell r="D136">
            <v>0</v>
          </cell>
        </row>
        <row r="138">
          <cell r="C138">
            <v>0</v>
          </cell>
          <cell r="D138">
            <v>0</v>
          </cell>
        </row>
        <row r="139">
          <cell r="C139">
            <v>0</v>
          </cell>
          <cell r="D139">
            <v>0</v>
          </cell>
        </row>
        <row r="142">
          <cell r="C142">
            <v>0</v>
          </cell>
          <cell r="D142">
            <v>0</v>
          </cell>
        </row>
        <row r="143">
          <cell r="C143">
            <v>0</v>
          </cell>
          <cell r="D143">
            <v>0</v>
          </cell>
        </row>
        <row r="151">
          <cell r="C151">
            <v>0</v>
          </cell>
          <cell r="D151">
            <v>0</v>
          </cell>
        </row>
        <row r="152">
          <cell r="C152">
            <v>0</v>
          </cell>
          <cell r="D152">
            <v>0</v>
          </cell>
        </row>
        <row r="154">
          <cell r="C154">
            <v>0</v>
          </cell>
          <cell r="D154">
            <v>0</v>
          </cell>
        </row>
        <row r="155">
          <cell r="C155">
            <v>0</v>
          </cell>
          <cell r="D155">
            <v>0</v>
          </cell>
        </row>
        <row r="157">
          <cell r="C157">
            <v>0</v>
          </cell>
          <cell r="D157">
            <v>0</v>
          </cell>
        </row>
        <row r="158">
          <cell r="C158">
            <v>0</v>
          </cell>
          <cell r="D158">
            <v>0</v>
          </cell>
        </row>
        <row r="161">
          <cell r="C161">
            <v>0</v>
          </cell>
          <cell r="D161">
            <v>0</v>
          </cell>
        </row>
        <row r="162">
          <cell r="C162">
            <v>0</v>
          </cell>
          <cell r="D162">
            <v>0</v>
          </cell>
        </row>
        <row r="163">
          <cell r="C163">
            <v>0</v>
          </cell>
          <cell r="D163">
            <v>0</v>
          </cell>
        </row>
        <row r="165">
          <cell r="C165">
            <v>0</v>
          </cell>
          <cell r="D165">
            <v>0</v>
          </cell>
        </row>
        <row r="166">
          <cell r="C166">
            <v>0</v>
          </cell>
          <cell r="D166">
            <v>0</v>
          </cell>
        </row>
        <row r="169">
          <cell r="C169">
            <v>0</v>
          </cell>
          <cell r="D169">
            <v>0</v>
          </cell>
        </row>
        <row r="170">
          <cell r="C170">
            <v>0</v>
          </cell>
          <cell r="D170">
            <v>0</v>
          </cell>
        </row>
        <row r="171">
          <cell r="C171">
            <v>0</v>
          </cell>
          <cell r="D171">
            <v>0</v>
          </cell>
        </row>
        <row r="172">
          <cell r="C172">
            <v>0</v>
          </cell>
          <cell r="D172">
            <v>0</v>
          </cell>
        </row>
        <row r="174">
          <cell r="C174">
            <v>0</v>
          </cell>
          <cell r="D174">
            <v>0</v>
          </cell>
        </row>
        <row r="175">
          <cell r="C175">
            <v>0</v>
          </cell>
          <cell r="D175">
            <v>0</v>
          </cell>
        </row>
        <row r="176">
          <cell r="C176">
            <v>0</v>
          </cell>
          <cell r="D176">
            <v>0</v>
          </cell>
        </row>
        <row r="177">
          <cell r="C177">
            <v>0</v>
          </cell>
          <cell r="D177">
            <v>0</v>
          </cell>
        </row>
        <row r="179">
          <cell r="C179">
            <v>0</v>
          </cell>
          <cell r="D179">
            <v>0</v>
          </cell>
        </row>
        <row r="180">
          <cell r="C180">
            <v>0</v>
          </cell>
          <cell r="D180">
            <v>0</v>
          </cell>
        </row>
        <row r="183">
          <cell r="C183">
            <v>0</v>
          </cell>
          <cell r="D183">
            <v>0</v>
          </cell>
        </row>
        <row r="184">
          <cell r="C184">
            <v>0</v>
          </cell>
          <cell r="D184">
            <v>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tęp"/>
      <sheetName val="Strona tytułowa"/>
      <sheetName val="Informacje ogólne"/>
      <sheetName val="Bilans"/>
      <sheetName val="RZiS"/>
      <sheetName val="CF"/>
      <sheetName val="ZK"/>
      <sheetName val="Noty"/>
      <sheetName val="31.12.2010"/>
      <sheetName val="31.12.2010 s"/>
      <sheetName val="Arkusz1"/>
      <sheetName val="30.06.2011"/>
      <sheetName val="Arkusz2"/>
    </sheetNames>
    <sheetDataSet>
      <sheetData sheetId="0" refreshError="1">
        <row r="15">
          <cell r="Q15" t="str">
            <v>MURAPOL NORD Spółka z ograniczoną odpowiedzialnością Spółka komandytowa</v>
          </cell>
        </row>
        <row r="19">
          <cell r="V19" t="str">
            <v>BIELSKO-BIAŁA</v>
          </cell>
        </row>
        <row r="63">
          <cell r="CI63" t="str">
            <v>od 01.01.2011          do 30.06.2011</v>
          </cell>
        </row>
        <row r="64">
          <cell r="CI64" t="str">
            <v>od 01.01.2010          do 31.12.2010</v>
          </cell>
        </row>
        <row r="73">
          <cell r="CI73" t="str">
            <v xml:space="preserve"> na dzień 30.06.2011 roku</v>
          </cell>
        </row>
        <row r="88">
          <cell r="CI88" t="str">
            <v xml:space="preserve"> 15 czerwiec 2011</v>
          </cell>
        </row>
        <row r="107">
          <cell r="CI107" t="str">
            <v>złoty polski (PLN)</v>
          </cell>
        </row>
        <row r="108">
          <cell r="CI108" t="str">
            <v>PLN</v>
          </cell>
        </row>
        <row r="117">
          <cell r="CI117" t="str">
            <v>Wszystkie kwoty wyrażone są w  złotych polskich (o ile nie wskazano inaczej)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"/>
      <sheetName val="Instrukcja"/>
      <sheetName val="P2-Indeks"/>
      <sheetName val="P3"/>
      <sheetName val="P4"/>
      <sheetName val="P5"/>
      <sheetName val="SF"/>
      <sheetName val="A1"/>
      <sheetName val="A2"/>
      <sheetName val="A3"/>
      <sheetName val="A4"/>
      <sheetName val="B5"/>
      <sheetName val="B6"/>
      <sheetName val="C7"/>
      <sheetName val="D8"/>
      <sheetName val="BA"/>
      <sheetName val="BP"/>
      <sheetName val="RK"/>
      <sheetName val="RP"/>
      <sheetName val="CF"/>
      <sheetName val="CF2"/>
      <sheetName val="ZK"/>
      <sheetName val="SFQ"/>
      <sheetName val="Pa-In 3.10"/>
    </sheetNames>
    <sheetDataSet>
      <sheetData sheetId="0" refreshError="1">
        <row r="123">
          <cell r="AX123" t="str">
            <v xml:space="preserve"> NA DZIEŃ 31.12.2005 ROKU</v>
          </cell>
        </row>
        <row r="124">
          <cell r="AX124" t="str">
            <v xml:space="preserve"> ZA OKRES OD 01.01 DO 31.12.2005 ROKU</v>
          </cell>
        </row>
        <row r="125">
          <cell r="AX125" t="str">
            <v xml:space="preserve"> W OKRESIE OD 01.01 DO 31.12.2005 ROKU</v>
          </cell>
        </row>
        <row r="126">
          <cell r="AX126">
            <v>0</v>
          </cell>
        </row>
        <row r="127">
          <cell r="AX127" t="str">
            <v xml:space="preserve"> za okres od 01.01 do 31.12.2005</v>
          </cell>
        </row>
        <row r="134">
          <cell r="AX134" t="str">
            <v>3.10</v>
          </cell>
        </row>
      </sheetData>
      <sheetData sheetId="1"/>
      <sheetData sheetId="2"/>
      <sheetData sheetId="3"/>
      <sheetData sheetId="4"/>
      <sheetData sheetId="5"/>
      <sheetData sheetId="6" refreshError="1">
        <row r="5">
          <cell r="B5" t="str">
            <v>Tabela nr 1.1</v>
          </cell>
        </row>
        <row r="6">
          <cell r="B6" t="str">
            <v>AKTYWA</v>
          </cell>
        </row>
        <row r="7">
          <cell r="B7" t="str">
            <v>Wyszczególnienie</v>
          </cell>
          <cell r="T7" t="str">
            <v>Bilans na dzień</v>
          </cell>
        </row>
        <row r="8">
          <cell r="T8" t="str">
            <v>31.12.2005</v>
          </cell>
          <cell r="Z8" t="str">
            <v>31.12.2004</v>
          </cell>
          <cell r="AF8" t="str">
            <v>31.12.2003</v>
          </cell>
        </row>
        <row r="9">
          <cell r="B9" t="str">
            <v>A. AKTYWA TRWAŁE</v>
          </cell>
          <cell r="T9">
            <v>2437916.41</v>
          </cell>
          <cell r="Z9">
            <v>2689899.8299999991</v>
          </cell>
          <cell r="AF9">
            <v>2763367.2</v>
          </cell>
        </row>
        <row r="10">
          <cell r="B10" t="str">
            <v>I. Wartości niematerialne i prawne</v>
          </cell>
          <cell r="T10">
            <v>36900</v>
          </cell>
          <cell r="Z10">
            <v>76141.070000000007</v>
          </cell>
          <cell r="AF10">
            <v>20718.55</v>
          </cell>
        </row>
        <row r="11">
          <cell r="B11" t="str">
            <v>1. Koszty zakończonych prac rozwojowych</v>
          </cell>
          <cell r="T11">
            <v>0</v>
          </cell>
          <cell r="Z11">
            <v>0</v>
          </cell>
          <cell r="AF11">
            <v>0</v>
          </cell>
        </row>
        <row r="12">
          <cell r="B12" t="str">
            <v>2. Wartość firmy</v>
          </cell>
          <cell r="T12">
            <v>0</v>
          </cell>
          <cell r="Z12">
            <v>0</v>
          </cell>
          <cell r="AF12">
            <v>0</v>
          </cell>
        </row>
        <row r="13">
          <cell r="B13" t="str">
            <v>3. Inne wartości niematerialne i prawne</v>
          </cell>
          <cell r="T13">
            <v>36900</v>
          </cell>
          <cell r="Z13">
            <v>76141.070000000007</v>
          </cell>
          <cell r="AF13">
            <v>20718.55</v>
          </cell>
        </row>
        <row r="14">
          <cell r="B14" t="str">
            <v>4. Zaliczki na wartości niematerialne i prawne</v>
          </cell>
          <cell r="T14">
            <v>0</v>
          </cell>
          <cell r="Z14">
            <v>0</v>
          </cell>
          <cell r="AF14">
            <v>0</v>
          </cell>
        </row>
        <row r="15">
          <cell r="B15" t="str">
            <v>II. Rzeczowe aktywa trwałe</v>
          </cell>
          <cell r="T15">
            <v>2387761.89</v>
          </cell>
          <cell r="Z15">
            <v>2609842.9599999995</v>
          </cell>
          <cell r="AF15">
            <v>2724344.6500000004</v>
          </cell>
        </row>
        <row r="16">
          <cell r="B16" t="str">
            <v>1. Środki trwałe</v>
          </cell>
          <cell r="T16">
            <v>2373780.64</v>
          </cell>
          <cell r="Z16">
            <v>2599603.1199999996</v>
          </cell>
          <cell r="AF16">
            <v>2524388.4300000002</v>
          </cell>
        </row>
        <row r="17">
          <cell r="B17" t="str">
            <v>a) grunty (w tym prawo użytkow. wieczystego gruntu)</v>
          </cell>
          <cell r="T17">
            <v>210898.71</v>
          </cell>
          <cell r="Z17">
            <v>213402.29</v>
          </cell>
          <cell r="AF17">
            <v>213885.39</v>
          </cell>
        </row>
        <row r="18">
          <cell r="B18" t="str">
            <v>b) budynki, lokale i obiekty inżynierii lądowej i wodnej</v>
          </cell>
          <cell r="T18">
            <v>1283979.48</v>
          </cell>
          <cell r="Z18">
            <v>1408088.2</v>
          </cell>
          <cell r="AF18">
            <v>1384867.63</v>
          </cell>
        </row>
        <row r="19">
          <cell r="B19" t="str">
            <v>c) urządzenia techniczne i maszyny</v>
          </cell>
          <cell r="T19">
            <v>644980.81000000006</v>
          </cell>
          <cell r="Z19">
            <v>810745.74</v>
          </cell>
          <cell r="AF19">
            <v>920208.62</v>
          </cell>
        </row>
        <row r="20">
          <cell r="B20" t="str">
            <v>d) środki transportu</v>
          </cell>
          <cell r="T20">
            <v>228569.16</v>
          </cell>
          <cell r="Z20">
            <v>166649.49</v>
          </cell>
          <cell r="AF20">
            <v>300</v>
          </cell>
        </row>
        <row r="21">
          <cell r="B21" t="str">
            <v>e) inne środki trwałe</v>
          </cell>
          <cell r="T21">
            <v>5352.48</v>
          </cell>
          <cell r="Z21">
            <v>717.4</v>
          </cell>
          <cell r="AF21">
            <v>5126.79</v>
          </cell>
        </row>
        <row r="22">
          <cell r="B22" t="str">
            <v>2. Środki trwałe w budowie</v>
          </cell>
          <cell r="T22">
            <v>13981.25</v>
          </cell>
          <cell r="Z22">
            <v>10239.84</v>
          </cell>
          <cell r="AF22">
            <v>199956.22</v>
          </cell>
        </row>
        <row r="23">
          <cell r="B23" t="str">
            <v>3. Zaliczki na środki trwałe w budowie</v>
          </cell>
          <cell r="T23">
            <v>0</v>
          </cell>
          <cell r="Z23">
            <v>0</v>
          </cell>
          <cell r="AF23">
            <v>0</v>
          </cell>
        </row>
        <row r="24">
          <cell r="B24" t="str">
            <v>III. Należności długoterminowe</v>
          </cell>
          <cell r="F24" t="str">
            <v>`</v>
          </cell>
          <cell r="T24">
            <v>0</v>
          </cell>
          <cell r="Z24">
            <v>0</v>
          </cell>
          <cell r="AF24">
            <v>0</v>
          </cell>
        </row>
        <row r="25">
          <cell r="B25" t="str">
            <v>1. Od jednostek powiązanych</v>
          </cell>
          <cell r="T25">
            <v>0</v>
          </cell>
          <cell r="Z25">
            <v>0</v>
          </cell>
          <cell r="AF25">
            <v>0</v>
          </cell>
        </row>
        <row r="26">
          <cell r="B26" t="str">
            <v>2. Od pozostałych jednostek</v>
          </cell>
          <cell r="T26">
            <v>0</v>
          </cell>
          <cell r="Z26">
            <v>0</v>
          </cell>
          <cell r="AF26">
            <v>0</v>
          </cell>
        </row>
        <row r="27">
          <cell r="B27" t="str">
            <v>IV. Inwestycje długoterminowe</v>
          </cell>
          <cell r="T27">
            <v>0</v>
          </cell>
          <cell r="Z27">
            <v>0</v>
          </cell>
          <cell r="AF27">
            <v>0</v>
          </cell>
        </row>
        <row r="28">
          <cell r="B28" t="str">
            <v>1. Nieruchomości</v>
          </cell>
          <cell r="T28">
            <v>0</v>
          </cell>
          <cell r="Z28">
            <v>0</v>
          </cell>
          <cell r="AF28">
            <v>0</v>
          </cell>
        </row>
        <row r="29">
          <cell r="B29" t="str">
            <v>2. Wartości niematerialne i prawne</v>
          </cell>
          <cell r="T29">
            <v>0</v>
          </cell>
          <cell r="Z29">
            <v>0</v>
          </cell>
          <cell r="AF29">
            <v>0</v>
          </cell>
        </row>
        <row r="30">
          <cell r="B30" t="str">
            <v>3. Długoterminowe aktywa finansowe</v>
          </cell>
          <cell r="T30">
            <v>0</v>
          </cell>
          <cell r="Z30">
            <v>0</v>
          </cell>
          <cell r="AF30">
            <v>0</v>
          </cell>
        </row>
        <row r="31">
          <cell r="B31" t="str">
            <v>a) w jednostkach powiązanych</v>
          </cell>
          <cell r="T31">
            <v>0</v>
          </cell>
          <cell r="Z31">
            <v>0</v>
          </cell>
          <cell r="AF31">
            <v>0</v>
          </cell>
        </row>
        <row r="32">
          <cell r="B32" t="str">
            <v>- udziały lub akcje</v>
          </cell>
          <cell r="T32">
            <v>0</v>
          </cell>
          <cell r="Z32">
            <v>0</v>
          </cell>
          <cell r="AF32">
            <v>0</v>
          </cell>
        </row>
        <row r="33">
          <cell r="B33" t="str">
            <v>- inne papiery wartościowe</v>
          </cell>
          <cell r="T33">
            <v>0</v>
          </cell>
          <cell r="Z33">
            <v>0</v>
          </cell>
          <cell r="AF33">
            <v>0</v>
          </cell>
        </row>
        <row r="34">
          <cell r="B34" t="str">
            <v>- udzielone pożyczki</v>
          </cell>
          <cell r="T34">
            <v>0</v>
          </cell>
          <cell r="Z34">
            <v>0</v>
          </cell>
          <cell r="AF34">
            <v>0</v>
          </cell>
        </row>
        <row r="35">
          <cell r="B35" t="str">
            <v>- inne długoterminowe aktywa finansowe</v>
          </cell>
          <cell r="T35">
            <v>0</v>
          </cell>
          <cell r="Z35">
            <v>0</v>
          </cell>
          <cell r="AF35">
            <v>0</v>
          </cell>
        </row>
        <row r="36">
          <cell r="B36" t="str">
            <v>b) w pozostałych jednostkach</v>
          </cell>
          <cell r="T36">
            <v>0</v>
          </cell>
          <cell r="Z36">
            <v>0</v>
          </cell>
          <cell r="AF36">
            <v>0</v>
          </cell>
        </row>
        <row r="37">
          <cell r="B37" t="str">
            <v>- udziały lub akcje</v>
          </cell>
          <cell r="T37">
            <v>0</v>
          </cell>
          <cell r="Z37">
            <v>0</v>
          </cell>
          <cell r="AF37">
            <v>0</v>
          </cell>
        </row>
        <row r="38">
          <cell r="B38" t="str">
            <v>- inne papiery wartościowe</v>
          </cell>
          <cell r="T38">
            <v>0</v>
          </cell>
          <cell r="Z38">
            <v>0</v>
          </cell>
          <cell r="AF38">
            <v>0</v>
          </cell>
        </row>
        <row r="39">
          <cell r="B39" t="str">
            <v>- udzielone pożyczki</v>
          </cell>
          <cell r="T39">
            <v>0</v>
          </cell>
          <cell r="Z39">
            <v>0</v>
          </cell>
          <cell r="AF39">
            <v>0</v>
          </cell>
        </row>
        <row r="40">
          <cell r="B40" t="str">
            <v>- inne długoterminowe aktywa finansowe</v>
          </cell>
          <cell r="T40">
            <v>0</v>
          </cell>
          <cell r="Z40">
            <v>0</v>
          </cell>
          <cell r="AF40">
            <v>0</v>
          </cell>
        </row>
        <row r="41">
          <cell r="B41" t="str">
            <v>4. Inne inwestycje długoterminowe</v>
          </cell>
          <cell r="T41">
            <v>0</v>
          </cell>
          <cell r="Z41">
            <v>0</v>
          </cell>
          <cell r="AF41">
            <v>0</v>
          </cell>
        </row>
        <row r="42">
          <cell r="B42" t="str">
            <v>V. Długoterminowe rozliczenia międzyokresowe</v>
          </cell>
          <cell r="T42">
            <v>13254.52</v>
          </cell>
          <cell r="Z42">
            <v>3915.8</v>
          </cell>
          <cell r="AF42">
            <v>18304</v>
          </cell>
        </row>
        <row r="43">
          <cell r="B43" t="str">
            <v>1. Aktywa z tytułu odroczonego podatku dochodowego</v>
          </cell>
          <cell r="T43">
            <v>12899</v>
          </cell>
          <cell r="Z43">
            <v>3027</v>
          </cell>
          <cell r="AF43">
            <v>18304</v>
          </cell>
        </row>
        <row r="44">
          <cell r="B44" t="str">
            <v>2. Inne rozliczenia międzyokresowe</v>
          </cell>
          <cell r="T44">
            <v>355.52</v>
          </cell>
          <cell r="Z44">
            <v>888.8</v>
          </cell>
          <cell r="AF44">
            <v>0</v>
          </cell>
        </row>
        <row r="45">
          <cell r="B45" t="str">
            <v>B. AKTYWA OBROTOWE</v>
          </cell>
          <cell r="T45">
            <v>4440114.6899999995</v>
          </cell>
          <cell r="Z45">
            <v>3407327.85</v>
          </cell>
          <cell r="AF45">
            <v>2472447.4499999997</v>
          </cell>
        </row>
        <row r="46">
          <cell r="B46" t="str">
            <v>I. Zapasy</v>
          </cell>
          <cell r="T46">
            <v>3717063.59</v>
          </cell>
          <cell r="Z46">
            <v>2906961.02</v>
          </cell>
          <cell r="AF46">
            <v>1279189.55</v>
          </cell>
        </row>
        <row r="47">
          <cell r="B47" t="str">
            <v>1. Materiały</v>
          </cell>
          <cell r="T47">
            <v>2545422</v>
          </cell>
          <cell r="Z47">
            <v>2298508.7000000002</v>
          </cell>
          <cell r="AF47">
            <v>887956.62</v>
          </cell>
        </row>
        <row r="48">
          <cell r="B48" t="str">
            <v>2. Półprodukty i produkty w toku</v>
          </cell>
          <cell r="T48">
            <v>1171641.5900000001</v>
          </cell>
          <cell r="Z48">
            <v>608452.31999999995</v>
          </cell>
          <cell r="AF48">
            <v>391232.93</v>
          </cell>
        </row>
        <row r="49">
          <cell r="B49" t="str">
            <v>3. Produkty gotowe</v>
          </cell>
          <cell r="T49">
            <v>0</v>
          </cell>
          <cell r="Z49">
            <v>0</v>
          </cell>
          <cell r="AF49">
            <v>0</v>
          </cell>
        </row>
        <row r="50">
          <cell r="B50" t="str">
            <v>4. Towary</v>
          </cell>
          <cell r="T50">
            <v>0</v>
          </cell>
          <cell r="Z50">
            <v>0</v>
          </cell>
          <cell r="AF50">
            <v>0</v>
          </cell>
        </row>
        <row r="51">
          <cell r="B51" t="str">
            <v>5. Zaliczki na dostawy</v>
          </cell>
          <cell r="T51">
            <v>0</v>
          </cell>
          <cell r="Z51">
            <v>0</v>
          </cell>
          <cell r="AF51">
            <v>0</v>
          </cell>
        </row>
        <row r="52">
          <cell r="B52" t="str">
            <v>II. Należności krótkoterminowe</v>
          </cell>
          <cell r="T52">
            <v>620160.9</v>
          </cell>
          <cell r="Z52">
            <v>363113.76</v>
          </cell>
          <cell r="AF52">
            <v>1030188.99</v>
          </cell>
        </row>
        <row r="53">
          <cell r="B53" t="str">
            <v>1. Należności od jednostek powiązanych</v>
          </cell>
          <cell r="T53">
            <v>305310.18</v>
          </cell>
          <cell r="Z53">
            <v>149129.63</v>
          </cell>
          <cell r="AF53">
            <v>493329.24</v>
          </cell>
        </row>
        <row r="54">
          <cell r="B54" t="str">
            <v>a) z tytułu dostaw i usług, o okresie spłaty:</v>
          </cell>
          <cell r="T54">
            <v>305310.18</v>
          </cell>
          <cell r="Z54">
            <v>149129.63</v>
          </cell>
          <cell r="AF54">
            <v>493329.24</v>
          </cell>
        </row>
        <row r="55">
          <cell r="B55" t="str">
            <v>- do 12 miesięcy</v>
          </cell>
          <cell r="T55">
            <v>305310.18</v>
          </cell>
          <cell r="Z55">
            <v>149129.63</v>
          </cell>
          <cell r="AF55">
            <v>493329.24</v>
          </cell>
        </row>
        <row r="56">
          <cell r="B56" t="str">
            <v>- powyżej 12 miesięcy</v>
          </cell>
          <cell r="T56">
            <v>0</v>
          </cell>
          <cell r="Z56">
            <v>0</v>
          </cell>
          <cell r="AF56">
            <v>0</v>
          </cell>
        </row>
        <row r="57">
          <cell r="B57" t="str">
            <v>b) inne</v>
          </cell>
          <cell r="T57">
            <v>0</v>
          </cell>
          <cell r="Z57">
            <v>0</v>
          </cell>
          <cell r="AF57">
            <v>0</v>
          </cell>
        </row>
        <row r="58">
          <cell r="B58" t="str">
            <v>2. Należności od pozostałych jednostek</v>
          </cell>
          <cell r="T58">
            <v>314850.72000000003</v>
          </cell>
          <cell r="Z58">
            <v>213984.13</v>
          </cell>
          <cell r="AF58">
            <v>536859.75</v>
          </cell>
        </row>
        <row r="59">
          <cell r="B59" t="str">
            <v>a) z tytułu dostaw i usług, o okresie spłaty:</v>
          </cell>
          <cell r="T59">
            <v>34759.64</v>
          </cell>
          <cell r="Z59">
            <v>9675.1200000000008</v>
          </cell>
          <cell r="AF59">
            <v>2970</v>
          </cell>
        </row>
        <row r="60">
          <cell r="B60" t="str">
            <v>- do 12 miesięcy</v>
          </cell>
          <cell r="T60">
            <v>34759.64</v>
          </cell>
          <cell r="Z60">
            <v>9675.1200000000008</v>
          </cell>
          <cell r="AF60">
            <v>2970</v>
          </cell>
        </row>
        <row r="61">
          <cell r="B61" t="str">
            <v>- powyżej 12 miesięcy</v>
          </cell>
          <cell r="T61">
            <v>0</v>
          </cell>
          <cell r="Z61">
            <v>0</v>
          </cell>
          <cell r="AF61">
            <v>0</v>
          </cell>
        </row>
        <row r="62">
          <cell r="B62" t="str">
            <v>b) z tytułu podatków, dotacji, ceł, ubezp. społ. i zdrow.</v>
          </cell>
          <cell r="T62">
            <v>270415.88</v>
          </cell>
          <cell r="Z62">
            <v>195984.01</v>
          </cell>
          <cell r="AF62">
            <v>529476.44999999995</v>
          </cell>
        </row>
        <row r="63">
          <cell r="B63" t="str">
            <v>c) inne</v>
          </cell>
          <cell r="T63">
            <v>9675.2000000000007</v>
          </cell>
          <cell r="Z63">
            <v>8325</v>
          </cell>
          <cell r="AF63">
            <v>4413.3</v>
          </cell>
        </row>
        <row r="64">
          <cell r="B64" t="str">
            <v>d) dochodzone na drodze sądowej</v>
          </cell>
          <cell r="T64">
            <v>0</v>
          </cell>
          <cell r="Z64">
            <v>0</v>
          </cell>
          <cell r="AF64">
            <v>0</v>
          </cell>
        </row>
        <row r="65">
          <cell r="B65" t="str">
            <v>III. Inwestycje krótkoterminowe</v>
          </cell>
          <cell r="T65">
            <v>70779.39</v>
          </cell>
          <cell r="Z65">
            <v>114977.63</v>
          </cell>
          <cell r="AF65">
            <v>145104.84</v>
          </cell>
        </row>
        <row r="66">
          <cell r="B66" t="str">
            <v>1. Krótkoterminowe aktywa finansowe</v>
          </cell>
          <cell r="T66">
            <v>70779.39</v>
          </cell>
          <cell r="Z66">
            <v>114977.63</v>
          </cell>
          <cell r="AF66">
            <v>145104.84</v>
          </cell>
        </row>
        <row r="67">
          <cell r="B67" t="str">
            <v>a) w jednostkach powiązanych</v>
          </cell>
          <cell r="T67">
            <v>0</v>
          </cell>
          <cell r="Z67">
            <v>0</v>
          </cell>
          <cell r="AF67">
            <v>0</v>
          </cell>
        </row>
        <row r="68">
          <cell r="B68" t="str">
            <v>- udziały lub akcje</v>
          </cell>
          <cell r="T68">
            <v>0</v>
          </cell>
          <cell r="Z68">
            <v>0</v>
          </cell>
          <cell r="AF68">
            <v>0</v>
          </cell>
        </row>
        <row r="69">
          <cell r="B69" t="str">
            <v>- inne papiery wartościowe</v>
          </cell>
          <cell r="T69">
            <v>0</v>
          </cell>
          <cell r="Z69">
            <v>0</v>
          </cell>
          <cell r="AF69">
            <v>0</v>
          </cell>
        </row>
        <row r="70">
          <cell r="B70" t="str">
            <v>- udzielone pożyczki</v>
          </cell>
          <cell r="T70">
            <v>0</v>
          </cell>
          <cell r="Z70">
            <v>0</v>
          </cell>
          <cell r="AF70">
            <v>0</v>
          </cell>
        </row>
        <row r="71">
          <cell r="B71" t="str">
            <v>- inne krótkoterminowe aktywa finansowe</v>
          </cell>
          <cell r="T71">
            <v>0</v>
          </cell>
          <cell r="Z71">
            <v>0</v>
          </cell>
          <cell r="AF71">
            <v>0</v>
          </cell>
        </row>
        <row r="72">
          <cell r="B72" t="str">
            <v>b) w pozostałych jednostkach</v>
          </cell>
          <cell r="T72">
            <v>0</v>
          </cell>
          <cell r="Z72">
            <v>0</v>
          </cell>
          <cell r="AF72">
            <v>0</v>
          </cell>
        </row>
        <row r="73">
          <cell r="B73" t="str">
            <v>- udziały lub akcje</v>
          </cell>
          <cell r="T73">
            <v>0</v>
          </cell>
          <cell r="Z73">
            <v>0</v>
          </cell>
          <cell r="AF73">
            <v>0</v>
          </cell>
        </row>
        <row r="74">
          <cell r="B74" t="str">
            <v>- inne papiery wartościowe</v>
          </cell>
          <cell r="T74">
            <v>0</v>
          </cell>
          <cell r="Z74">
            <v>0</v>
          </cell>
          <cell r="AF74">
            <v>0</v>
          </cell>
        </row>
        <row r="75">
          <cell r="B75" t="str">
            <v>- udzielone pożyczki</v>
          </cell>
          <cell r="T75">
            <v>0</v>
          </cell>
          <cell r="Z75">
            <v>0</v>
          </cell>
          <cell r="AF75">
            <v>0</v>
          </cell>
        </row>
        <row r="76">
          <cell r="B76" t="str">
            <v>- inne krótkoterminowe aktywa finansowe</v>
          </cell>
          <cell r="T76">
            <v>0</v>
          </cell>
          <cell r="Z76">
            <v>0</v>
          </cell>
          <cell r="AF76">
            <v>0</v>
          </cell>
        </row>
        <row r="77">
          <cell r="B77" t="str">
            <v>c) środki pieniężne i inne aktywa pieniężne</v>
          </cell>
          <cell r="T77">
            <v>70779.39</v>
          </cell>
          <cell r="Z77">
            <v>114977.63</v>
          </cell>
          <cell r="AF77">
            <v>145104.84</v>
          </cell>
        </row>
        <row r="78">
          <cell r="B78" t="str">
            <v>- środki pieniężne w kasie i na rachunkach</v>
          </cell>
          <cell r="T78">
            <v>70779.39</v>
          </cell>
          <cell r="Z78">
            <v>114977.63</v>
          </cell>
          <cell r="AF78">
            <v>145104.84</v>
          </cell>
        </row>
        <row r="79">
          <cell r="B79" t="str">
            <v>- inne środki pieniężne</v>
          </cell>
          <cell r="T79">
            <v>0</v>
          </cell>
          <cell r="Z79">
            <v>0</v>
          </cell>
          <cell r="AF79">
            <v>0</v>
          </cell>
        </row>
        <row r="80">
          <cell r="B80" t="str">
            <v>- inne aktywa pieniężne</v>
          </cell>
          <cell r="T80">
            <v>0</v>
          </cell>
          <cell r="Z80">
            <v>0</v>
          </cell>
          <cell r="AF80">
            <v>0</v>
          </cell>
        </row>
        <row r="81">
          <cell r="B81" t="str">
            <v>2. Inne inwestycje krótkoterminowe</v>
          </cell>
          <cell r="T81">
            <v>0</v>
          </cell>
          <cell r="Z81">
            <v>0</v>
          </cell>
          <cell r="AF81">
            <v>0</v>
          </cell>
        </row>
        <row r="82">
          <cell r="B82" t="str">
            <v>IV. Krótkoterminowe rozliczenia międzyokresowe</v>
          </cell>
          <cell r="T82">
            <v>32110.81</v>
          </cell>
          <cell r="Z82">
            <v>22275.439999999999</v>
          </cell>
          <cell r="AF82">
            <v>17964.07</v>
          </cell>
        </row>
        <row r="83">
          <cell r="B83" t="str">
            <v xml:space="preserve">AKTYWA RAZEM   </v>
          </cell>
          <cell r="T83">
            <v>6878031.0999999996</v>
          </cell>
          <cell r="Z83">
            <v>6097227.6799999997</v>
          </cell>
          <cell r="AF83">
            <v>5235814.6500000004</v>
          </cell>
        </row>
        <row r="85">
          <cell r="B85" t="str">
            <v>Tabela nr 1.2</v>
          </cell>
        </row>
        <row r="86">
          <cell r="B86" t="str">
            <v>PASYWA</v>
          </cell>
        </row>
        <row r="87">
          <cell r="B87" t="str">
            <v>Wyszczególnienie</v>
          </cell>
          <cell r="T87" t="str">
            <v>Bilans na dzień</v>
          </cell>
        </row>
        <row r="88">
          <cell r="T88" t="str">
            <v>31.12.2005</v>
          </cell>
          <cell r="Z88" t="str">
            <v>31.12.2004</v>
          </cell>
          <cell r="AF88" t="str">
            <v>31.12.2003</v>
          </cell>
        </row>
        <row r="89">
          <cell r="B89" t="str">
            <v>A. KAPITAŁ (FUNDUSZ) WŁASNY</v>
          </cell>
          <cell r="T89">
            <v>2731035.3200000003</v>
          </cell>
          <cell r="Z89">
            <v>1474567.4300000002</v>
          </cell>
          <cell r="AF89">
            <v>963998.67</v>
          </cell>
        </row>
        <row r="90">
          <cell r="B90" t="str">
            <v>I. Kapitał (fundusz) podstawowy</v>
          </cell>
          <cell r="T90">
            <v>735000</v>
          </cell>
          <cell r="Z90">
            <v>735000</v>
          </cell>
          <cell r="AF90">
            <v>735000</v>
          </cell>
        </row>
        <row r="91">
          <cell r="B91" t="str">
            <v>II. Należne wpłaty na kapitał podstawowy (wielkość ujemn.)</v>
          </cell>
          <cell r="T91">
            <v>0</v>
          </cell>
          <cell r="Z91">
            <v>0</v>
          </cell>
          <cell r="AF91">
            <v>0</v>
          </cell>
        </row>
        <row r="92">
          <cell r="B92" t="str">
            <v>III. Udziały (akcje) własne (wielkość ujemn.)</v>
          </cell>
          <cell r="T92">
            <v>0</v>
          </cell>
          <cell r="Z92">
            <v>0</v>
          </cell>
          <cell r="AF92">
            <v>0</v>
          </cell>
        </row>
        <row r="93">
          <cell r="B93" t="str">
            <v>IV. Kapitał (fundusz) zapasowy</v>
          </cell>
          <cell r="T93">
            <v>739567.43</v>
          </cell>
          <cell r="Z93">
            <v>228998.67</v>
          </cell>
          <cell r="AF93">
            <v>51626.51</v>
          </cell>
        </row>
        <row r="94">
          <cell r="B94" t="str">
            <v>V. Kapitał (fundusz) z aktualizacji wyceny</v>
          </cell>
          <cell r="T94">
            <v>0</v>
          </cell>
          <cell r="Z94">
            <v>0</v>
          </cell>
          <cell r="AF94">
            <v>0</v>
          </cell>
        </row>
        <row r="95">
          <cell r="B95" t="str">
            <v>VI. Pozostałe kapitały (fundusze) rezerwowe</v>
          </cell>
          <cell r="T95">
            <v>0</v>
          </cell>
          <cell r="Z95">
            <v>0</v>
          </cell>
          <cell r="AF95">
            <v>0</v>
          </cell>
        </row>
        <row r="96">
          <cell r="B96" t="str">
            <v>VII. Zysk (strata) z lat ubiegłych</v>
          </cell>
          <cell r="T96">
            <v>0</v>
          </cell>
          <cell r="Z96">
            <v>-23098</v>
          </cell>
          <cell r="AF96">
            <v>21307</v>
          </cell>
        </row>
        <row r="97">
          <cell r="B97" t="str">
            <v>VIII. Zysk (strata) netto</v>
          </cell>
          <cell r="T97">
            <v>1256467.8899999999</v>
          </cell>
          <cell r="Z97">
            <v>533666.76</v>
          </cell>
          <cell r="AF97">
            <v>156065.16</v>
          </cell>
        </row>
        <row r="98">
          <cell r="B98" t="str">
            <v>IX. Odpisy z zysku netto w ciagu roku obrotowego</v>
          </cell>
          <cell r="T98">
            <v>0</v>
          </cell>
          <cell r="Z98">
            <v>0</v>
          </cell>
          <cell r="AF98">
            <v>0</v>
          </cell>
        </row>
        <row r="99">
          <cell r="B99" t="str">
            <v>B. ZOBOWIĄZANIA I REZERWY NA ZOBOWIĄZANIA</v>
          </cell>
          <cell r="T99">
            <v>4146995.78</v>
          </cell>
          <cell r="Z99">
            <v>4622660.25</v>
          </cell>
          <cell r="AF99">
            <v>4271815.9799999995</v>
          </cell>
        </row>
        <row r="100">
          <cell r="B100" t="str">
            <v>I. Rezerwy na zobowiązania</v>
          </cell>
          <cell r="T100">
            <v>22015</v>
          </cell>
          <cell r="Z100">
            <v>72026</v>
          </cell>
          <cell r="AF100">
            <v>918</v>
          </cell>
        </row>
        <row r="101">
          <cell r="B101" t="str">
            <v>1. Rezerwa z tytułu odroczonego podatku dochodowego</v>
          </cell>
          <cell r="T101">
            <v>22015</v>
          </cell>
          <cell r="Z101">
            <v>72026</v>
          </cell>
          <cell r="AF101">
            <v>918</v>
          </cell>
        </row>
        <row r="102">
          <cell r="B102" t="str">
            <v>2. Rezerwa na świadczenia emerytalne i podobne</v>
          </cell>
          <cell r="T102">
            <v>0</v>
          </cell>
          <cell r="Z102">
            <v>0</v>
          </cell>
          <cell r="AF102">
            <v>0</v>
          </cell>
        </row>
        <row r="103">
          <cell r="B103" t="str">
            <v>- długoterminowa</v>
          </cell>
          <cell r="T103">
            <v>0</v>
          </cell>
          <cell r="Z103">
            <v>0</v>
          </cell>
          <cell r="AF103">
            <v>0</v>
          </cell>
        </row>
        <row r="104">
          <cell r="B104" t="str">
            <v>- krótkoterminowa</v>
          </cell>
          <cell r="T104">
            <v>0</v>
          </cell>
          <cell r="Z104">
            <v>0</v>
          </cell>
          <cell r="AF104">
            <v>0</v>
          </cell>
        </row>
        <row r="105">
          <cell r="B105" t="str">
            <v>3. Pozostałe rezerwy</v>
          </cell>
          <cell r="T105">
            <v>0</v>
          </cell>
          <cell r="Z105">
            <v>0</v>
          </cell>
          <cell r="AF105">
            <v>0</v>
          </cell>
        </row>
        <row r="106">
          <cell r="B106" t="str">
            <v>- długoterminowe</v>
          </cell>
          <cell r="T106">
            <v>0</v>
          </cell>
          <cell r="Z106">
            <v>0</v>
          </cell>
          <cell r="AF106">
            <v>0</v>
          </cell>
        </row>
        <row r="107">
          <cell r="B107" t="str">
            <v>- krótkoterminowe</v>
          </cell>
          <cell r="T107">
            <v>0</v>
          </cell>
          <cell r="Z107">
            <v>0</v>
          </cell>
          <cell r="AF107">
            <v>0</v>
          </cell>
        </row>
        <row r="108">
          <cell r="B108" t="str">
            <v>II. Zobowiązania długoterminowe</v>
          </cell>
          <cell r="T108">
            <v>1273460.8399999999</v>
          </cell>
          <cell r="Z108">
            <v>1889104.13</v>
          </cell>
          <cell r="AF108">
            <v>2418894.86</v>
          </cell>
        </row>
        <row r="109">
          <cell r="B109" t="str">
            <v>1. Wobec jednostek powiązanych</v>
          </cell>
          <cell r="T109">
            <v>245210.12</v>
          </cell>
          <cell r="Z109">
            <v>259135.73</v>
          </cell>
          <cell r="AF109">
            <v>299667.38</v>
          </cell>
        </row>
        <row r="110">
          <cell r="B110" t="str">
            <v>2. Wobec pozostałych jednostek</v>
          </cell>
          <cell r="T110">
            <v>1028250.72</v>
          </cell>
          <cell r="Z110">
            <v>1629968.4</v>
          </cell>
          <cell r="AF110">
            <v>2119227.48</v>
          </cell>
        </row>
        <row r="111">
          <cell r="B111" t="str">
            <v>a) kredyty i pożyczki</v>
          </cell>
          <cell r="T111">
            <v>1028250.72</v>
          </cell>
          <cell r="Z111">
            <v>1629968.4</v>
          </cell>
          <cell r="AF111">
            <v>2119227.48</v>
          </cell>
        </row>
        <row r="112">
          <cell r="B112" t="str">
            <v>b) z tytułu emisji dłużnych papierów wartościowych</v>
          </cell>
          <cell r="T112">
            <v>0</v>
          </cell>
          <cell r="Z112">
            <v>0</v>
          </cell>
          <cell r="AF112">
            <v>0</v>
          </cell>
        </row>
        <row r="113">
          <cell r="B113" t="str">
            <v>c) inne zobowiązania finansowe</v>
          </cell>
          <cell r="T113">
            <v>0</v>
          </cell>
          <cell r="Z113">
            <v>0</v>
          </cell>
          <cell r="AF113">
            <v>0</v>
          </cell>
        </row>
        <row r="114">
          <cell r="B114" t="str">
            <v>d) inne</v>
          </cell>
          <cell r="T114">
            <v>0</v>
          </cell>
          <cell r="Z114">
            <v>0</v>
          </cell>
          <cell r="AF114">
            <v>0</v>
          </cell>
        </row>
        <row r="115">
          <cell r="B115" t="str">
            <v>III. Zobowiązania krótkoterminowe</v>
          </cell>
          <cell r="T115">
            <v>2851519.94</v>
          </cell>
          <cell r="Z115">
            <v>2661530.1199999996</v>
          </cell>
          <cell r="AF115">
            <v>1852003.1199999999</v>
          </cell>
        </row>
        <row r="116">
          <cell r="B116" t="str">
            <v>1. Wobec jednostek powiązanych</v>
          </cell>
          <cell r="T116">
            <v>438238.8</v>
          </cell>
          <cell r="Z116">
            <v>461951.36</v>
          </cell>
          <cell r="AF116">
            <v>736029.69</v>
          </cell>
        </row>
        <row r="117">
          <cell r="B117" t="str">
            <v>a) z tytułu dostaw i usług, o okresie wymagalności:</v>
          </cell>
          <cell r="T117">
            <v>438238.8</v>
          </cell>
          <cell r="Z117">
            <v>461951.36</v>
          </cell>
          <cell r="AF117">
            <v>736029.69</v>
          </cell>
        </row>
        <row r="118">
          <cell r="B118" t="str">
            <v>- do 12 miesięcy</v>
          </cell>
          <cell r="T118">
            <v>438238.8</v>
          </cell>
          <cell r="Z118">
            <v>461951.36</v>
          </cell>
          <cell r="AF118">
            <v>736029.69</v>
          </cell>
        </row>
        <row r="119">
          <cell r="B119" t="str">
            <v>- powyżej 12 miesięcy</v>
          </cell>
          <cell r="T119">
            <v>0</v>
          </cell>
          <cell r="Z119">
            <v>0</v>
          </cell>
          <cell r="AF119">
            <v>0</v>
          </cell>
        </row>
        <row r="120">
          <cell r="B120" t="str">
            <v>b) inne</v>
          </cell>
          <cell r="T120">
            <v>0</v>
          </cell>
          <cell r="Z120">
            <v>0</v>
          </cell>
          <cell r="AF120">
            <v>0</v>
          </cell>
        </row>
        <row r="121">
          <cell r="B121" t="str">
            <v>2. Wobec pozostałych jednostek</v>
          </cell>
          <cell r="T121">
            <v>2384655.94</v>
          </cell>
          <cell r="Z121">
            <v>2179178.96</v>
          </cell>
          <cell r="AF121">
            <v>1094158.98</v>
          </cell>
        </row>
        <row r="122">
          <cell r="B122" t="str">
            <v>a) kredyty i pożyczki</v>
          </cell>
          <cell r="T122">
            <v>1685349.77</v>
          </cell>
          <cell r="Z122">
            <v>1740581.35</v>
          </cell>
          <cell r="AF122">
            <v>520961.24</v>
          </cell>
        </row>
        <row r="123">
          <cell r="B123" t="str">
            <v>b) z tytułu emisji dłużnych papierów wartościowych</v>
          </cell>
          <cell r="T123">
            <v>0</v>
          </cell>
          <cell r="Z123">
            <v>0</v>
          </cell>
          <cell r="AF123">
            <v>0</v>
          </cell>
        </row>
        <row r="124">
          <cell r="B124" t="str">
            <v>c) inne zobowiązania finansowe</v>
          </cell>
          <cell r="T124">
            <v>0</v>
          </cell>
          <cell r="Z124">
            <v>0</v>
          </cell>
          <cell r="AF124">
            <v>0</v>
          </cell>
        </row>
        <row r="125">
          <cell r="B125" t="str">
            <v>d) z tytułu dostaw i usług, o okresie wymagalności:</v>
          </cell>
          <cell r="T125">
            <v>546289.53</v>
          </cell>
          <cell r="Z125">
            <v>248310.77</v>
          </cell>
          <cell r="AF125">
            <v>418654.28</v>
          </cell>
        </row>
        <row r="126">
          <cell r="B126" t="str">
            <v>- do 12 miesięcy</v>
          </cell>
          <cell r="T126">
            <v>546289.53</v>
          </cell>
          <cell r="Z126">
            <v>248310.77</v>
          </cell>
          <cell r="AF126">
            <v>418654.28</v>
          </cell>
        </row>
        <row r="127">
          <cell r="B127" t="str">
            <v>- powyżej 12 miesięcy</v>
          </cell>
          <cell r="T127">
            <v>0</v>
          </cell>
          <cell r="Z127">
            <v>0</v>
          </cell>
          <cell r="AF127">
            <v>0</v>
          </cell>
        </row>
        <row r="128">
          <cell r="B128" t="str">
            <v>e) zaliczki otrzymane na dostawy</v>
          </cell>
          <cell r="T128">
            <v>0</v>
          </cell>
          <cell r="Z128">
            <v>0</v>
          </cell>
          <cell r="AF128">
            <v>0</v>
          </cell>
        </row>
        <row r="129">
          <cell r="B129" t="str">
            <v>f) zobowiązania wekslowe</v>
          </cell>
          <cell r="T129">
            <v>0</v>
          </cell>
          <cell r="Z129">
            <v>0</v>
          </cell>
          <cell r="AF129">
            <v>0</v>
          </cell>
        </row>
        <row r="130">
          <cell r="B130" t="str">
            <v>g) z tytułu podatków, ceł, ubezpieczeń i innych świadcz.</v>
          </cell>
          <cell r="T130">
            <v>151030.01999999999</v>
          </cell>
          <cell r="Z130">
            <v>119923.3</v>
          </cell>
          <cell r="AF130">
            <v>91645.73</v>
          </cell>
        </row>
        <row r="131">
          <cell r="B131" t="str">
            <v>h) z tytułu wynagrodzeń</v>
          </cell>
          <cell r="T131">
            <v>1986.62</v>
          </cell>
          <cell r="Z131">
            <v>68945.539999999994</v>
          </cell>
          <cell r="AF131">
            <v>61143.73</v>
          </cell>
        </row>
        <row r="132">
          <cell r="B132" t="str">
            <v>i) inne</v>
          </cell>
          <cell r="T132">
            <v>0</v>
          </cell>
          <cell r="Z132">
            <v>1418</v>
          </cell>
          <cell r="AF132">
            <v>1754</v>
          </cell>
        </row>
        <row r="133">
          <cell r="B133" t="str">
            <v>3. Fundusze specjalne</v>
          </cell>
          <cell r="T133">
            <v>28625.200000000001</v>
          </cell>
          <cell r="Z133">
            <v>20399.8</v>
          </cell>
          <cell r="AF133">
            <v>21814.45</v>
          </cell>
        </row>
        <row r="134">
          <cell r="B134" t="str">
            <v>IV. Rozliczenia międzyokresowe</v>
          </cell>
          <cell r="T134">
            <v>0</v>
          </cell>
          <cell r="Z134">
            <v>0</v>
          </cell>
          <cell r="AF134">
            <v>0</v>
          </cell>
        </row>
        <row r="135">
          <cell r="B135" t="str">
            <v>1. Ujemna wartość firmy</v>
          </cell>
          <cell r="T135">
            <v>0</v>
          </cell>
          <cell r="Z135">
            <v>0</v>
          </cell>
          <cell r="AF135">
            <v>0</v>
          </cell>
        </row>
        <row r="136">
          <cell r="B136" t="str">
            <v>2. Inne rozliczenia międzyokresowe</v>
          </cell>
          <cell r="T136">
            <v>0</v>
          </cell>
          <cell r="Z136">
            <v>0</v>
          </cell>
          <cell r="AF136">
            <v>0</v>
          </cell>
        </row>
        <row r="137">
          <cell r="B137" t="str">
            <v>- długoterminowe</v>
          </cell>
          <cell r="T137">
            <v>0</v>
          </cell>
          <cell r="Z137">
            <v>0</v>
          </cell>
          <cell r="AF137">
            <v>0</v>
          </cell>
        </row>
        <row r="138">
          <cell r="B138" t="str">
            <v>- krótkoterminowe</v>
          </cell>
          <cell r="T138">
            <v>0</v>
          </cell>
          <cell r="Z138">
            <v>0</v>
          </cell>
          <cell r="AF138">
            <v>0</v>
          </cell>
        </row>
        <row r="139">
          <cell r="B139" t="str">
            <v xml:space="preserve">PASYWA RAZEM   </v>
          </cell>
          <cell r="T139">
            <v>6878031.0999999996</v>
          </cell>
          <cell r="Z139">
            <v>6097227.6799999997</v>
          </cell>
          <cell r="AF139">
            <v>5235814.6499999994</v>
          </cell>
        </row>
        <row r="142">
          <cell r="B142" t="str">
            <v>Tabela nr 2.1</v>
          </cell>
        </row>
        <row r="143">
          <cell r="B143" t="str">
            <v>RACHUNEK ZYSKÓW I STRAT W WARIANCIE PORÓWNAWCZYM</v>
          </cell>
        </row>
        <row r="144">
          <cell r="B144" t="str">
            <v>Wyszczególnienie</v>
          </cell>
          <cell r="T144" t="str">
            <v>Rachunek zysków i strat za okres</v>
          </cell>
        </row>
        <row r="145">
          <cell r="T145" t="str">
            <v>od 01.01.2005        do 31.12.2005</v>
          </cell>
          <cell r="Z145" t="str">
            <v>od 01.01.2004        do 31.12.2004</v>
          </cell>
          <cell r="AF145" t="str">
            <v>od 01.01.2003        do 31.12.2003</v>
          </cell>
        </row>
        <row r="147">
          <cell r="B147" t="str">
            <v>A. PRZYCHODY NETTO ZE SPRZ. I ZRÓWN. Z NIMI, w tym:</v>
          </cell>
          <cell r="T147">
            <v>15589961.059999999</v>
          </cell>
          <cell r="Z147">
            <v>10194591.5</v>
          </cell>
          <cell r="AF147">
            <v>9033581.959999999</v>
          </cell>
        </row>
        <row r="148">
          <cell r="B148" t="str">
            <v>- od jednostek powiązanych</v>
          </cell>
          <cell r="T148">
            <v>14703403.859999999</v>
          </cell>
          <cell r="Z148">
            <v>9771952.8800000008</v>
          </cell>
          <cell r="AF148">
            <v>9170711.6899999995</v>
          </cell>
        </row>
        <row r="149">
          <cell r="B149" t="str">
            <v>I. Przychody netto ze sprzedaży produktów</v>
          </cell>
          <cell r="T149">
            <v>14575305.779999999</v>
          </cell>
          <cell r="Z149">
            <v>9661745.9100000001</v>
          </cell>
          <cell r="AF149">
            <v>9067772.9199999999</v>
          </cell>
        </row>
        <row r="150">
          <cell r="B150" t="str">
            <v xml:space="preserve">II. Zmiana stanu produktów (zwiększ. "+", zmniejsz. "-") </v>
          </cell>
          <cell r="T150">
            <v>572491.36</v>
          </cell>
          <cell r="Z150">
            <v>222419.56</v>
          </cell>
          <cell r="AF150">
            <v>-150686.24</v>
          </cell>
        </row>
        <row r="151">
          <cell r="B151" t="str">
            <v>III. Koszt wytworz. produktów na własne potrzeby jednostki</v>
          </cell>
          <cell r="T151">
            <v>0</v>
          </cell>
          <cell r="Z151">
            <v>0</v>
          </cell>
          <cell r="AF151">
            <v>0</v>
          </cell>
        </row>
        <row r="152">
          <cell r="B152" t="str">
            <v>IV. Przychody netto ze sprzedaży towarów i materiałów</v>
          </cell>
          <cell r="T152">
            <v>442163.92</v>
          </cell>
          <cell r="Z152">
            <v>310426.03000000003</v>
          </cell>
          <cell r="AF152">
            <v>116495.28</v>
          </cell>
        </row>
        <row r="153">
          <cell r="B153" t="str">
            <v>B. KOSZTY DZIAŁALNOŚCI OPERACYJNEJ</v>
          </cell>
          <cell r="T153">
            <v>13978575.980000002</v>
          </cell>
          <cell r="Z153">
            <v>9978125.6400000006</v>
          </cell>
          <cell r="AF153">
            <v>8256122.120000001</v>
          </cell>
        </row>
        <row r="154">
          <cell r="B154" t="str">
            <v>I. Amortyzacja</v>
          </cell>
          <cell r="T154">
            <v>509438.54</v>
          </cell>
          <cell r="Z154">
            <v>525322.48</v>
          </cell>
          <cell r="AF154">
            <v>301410.28000000003</v>
          </cell>
        </row>
        <row r="155">
          <cell r="B155" t="str">
            <v>II. Zużycie materiałów i energii</v>
          </cell>
          <cell r="T155">
            <v>9298314.5999999996</v>
          </cell>
          <cell r="Z155">
            <v>6201060.6500000004</v>
          </cell>
          <cell r="AF155">
            <v>5086479.5</v>
          </cell>
        </row>
        <row r="156">
          <cell r="B156" t="str">
            <v>III. Usługi obce</v>
          </cell>
          <cell r="T156">
            <v>1655966.8</v>
          </cell>
          <cell r="Z156">
            <v>1318396.8</v>
          </cell>
          <cell r="AF156">
            <v>1409034.7</v>
          </cell>
        </row>
        <row r="157">
          <cell r="B157" t="str">
            <v>IV. Podatki i opłaty, w tym:</v>
          </cell>
          <cell r="T157">
            <v>138984.31</v>
          </cell>
          <cell r="Z157">
            <v>132866.57</v>
          </cell>
          <cell r="AF157">
            <v>81507.649999999994</v>
          </cell>
        </row>
        <row r="158">
          <cell r="B158" t="str">
            <v>- podatek akcyzowy</v>
          </cell>
          <cell r="T158">
            <v>0</v>
          </cell>
          <cell r="Z158">
            <v>0</v>
          </cell>
          <cell r="AF158">
            <v>0</v>
          </cell>
        </row>
        <row r="159">
          <cell r="B159" t="str">
            <v>V. Wynagrodzenia</v>
          </cell>
          <cell r="T159">
            <v>1490101.64</v>
          </cell>
          <cell r="Z159">
            <v>1122741.02</v>
          </cell>
          <cell r="AF159">
            <v>947415.87</v>
          </cell>
        </row>
        <row r="160">
          <cell r="B160" t="str">
            <v>VI. Ubezpieczenia społeczne i inne świadczenia</v>
          </cell>
          <cell r="T160">
            <v>442415.63</v>
          </cell>
          <cell r="Z160">
            <v>353249.52</v>
          </cell>
          <cell r="AF160">
            <v>287067.99</v>
          </cell>
        </row>
        <row r="161">
          <cell r="B161" t="str">
            <v>VII. Pozostałe koszty rodzajowe</v>
          </cell>
          <cell r="T161">
            <v>107906</v>
          </cell>
          <cell r="Z161">
            <v>74141.58</v>
          </cell>
          <cell r="AF161">
            <v>61299.13</v>
          </cell>
        </row>
        <row r="162">
          <cell r="B162" t="str">
            <v>VIII. Wartość sprzedanych towarów i materiałów</v>
          </cell>
          <cell r="T162">
            <v>335448.46000000002</v>
          </cell>
          <cell r="Z162">
            <v>250347.02</v>
          </cell>
          <cell r="AF162">
            <v>81907</v>
          </cell>
        </row>
        <row r="163">
          <cell r="B163" t="str">
            <v>C. ZYSK (STRATA) ZE SPRZEDAŻY (A-B)</v>
          </cell>
          <cell r="T163">
            <v>1611385.0799999963</v>
          </cell>
          <cell r="Z163">
            <v>216465.8599999994</v>
          </cell>
          <cell r="AF163">
            <v>777459.83999999799</v>
          </cell>
        </row>
        <row r="164">
          <cell r="B164" t="str">
            <v>D. POZOSTAŁE PRZYCHODY OPERACYJNE</v>
          </cell>
          <cell r="T164">
            <v>27799.54</v>
          </cell>
          <cell r="Z164">
            <v>123765.6</v>
          </cell>
          <cell r="AF164">
            <v>5068.7700000000004</v>
          </cell>
        </row>
        <row r="165">
          <cell r="B165" t="str">
            <v>I. Zysk ze zbycia niefinansowych aktywów trwałych</v>
          </cell>
          <cell r="T165">
            <v>0</v>
          </cell>
          <cell r="Z165">
            <v>2966.86</v>
          </cell>
          <cell r="AF165">
            <v>5000</v>
          </cell>
        </row>
        <row r="166">
          <cell r="B166" t="str">
            <v>II. Dotacje</v>
          </cell>
          <cell r="T166">
            <v>0</v>
          </cell>
          <cell r="Z166">
            <v>0</v>
          </cell>
          <cell r="AF166">
            <v>0</v>
          </cell>
        </row>
        <row r="167">
          <cell r="B167" t="str">
            <v>III. Inne przychody operacyjne</v>
          </cell>
          <cell r="T167">
            <v>27799.54</v>
          </cell>
          <cell r="Z167">
            <v>120798.74</v>
          </cell>
          <cell r="AF167">
            <v>68.77</v>
          </cell>
        </row>
        <row r="168">
          <cell r="B168" t="str">
            <v>E. POZOSTAŁE KOSZTY OPERACYJNE</v>
          </cell>
          <cell r="T168">
            <v>11015.24</v>
          </cell>
          <cell r="Z168">
            <v>3233.06</v>
          </cell>
          <cell r="AF168">
            <v>21663.13</v>
          </cell>
        </row>
        <row r="169">
          <cell r="B169" t="str">
            <v>I. Strata ze zbycia niefinansowych aktywów trwałych</v>
          </cell>
          <cell r="T169">
            <v>6562.3</v>
          </cell>
          <cell r="Z169">
            <v>0</v>
          </cell>
          <cell r="AF169">
            <v>0</v>
          </cell>
        </row>
        <row r="170">
          <cell r="B170" t="str">
            <v>II. Aktualizacja wartości aktywów niefinansowych</v>
          </cell>
          <cell r="T170">
            <v>0</v>
          </cell>
          <cell r="Z170">
            <v>0</v>
          </cell>
          <cell r="AF170">
            <v>0</v>
          </cell>
        </row>
        <row r="171">
          <cell r="B171" t="str">
            <v>III. Inne koszty operacyjne</v>
          </cell>
          <cell r="T171">
            <v>4452.9399999999996</v>
          </cell>
          <cell r="Z171">
            <v>3233.06</v>
          </cell>
          <cell r="AF171">
            <v>21663.13</v>
          </cell>
        </row>
        <row r="172">
          <cell r="B172" t="str">
            <v>F. ZYSK (STRATA) Z DZIAŁALN. OPERACYJNEJ (C+D-E)</v>
          </cell>
          <cell r="T172">
            <v>1628169.3799999964</v>
          </cell>
          <cell r="Z172">
            <v>336998.39999999938</v>
          </cell>
          <cell r="AF172">
            <v>760865.479999998</v>
          </cell>
        </row>
        <row r="173">
          <cell r="B173" t="str">
            <v>G. PRZYCHODY FINANSOWE</v>
          </cell>
          <cell r="T173">
            <v>62149.02</v>
          </cell>
          <cell r="Z173">
            <v>507277.58999999997</v>
          </cell>
          <cell r="AF173">
            <v>587.01</v>
          </cell>
        </row>
        <row r="174">
          <cell r="B174" t="str">
            <v>I. Dywidendy i udziały w zyskach, w tym:</v>
          </cell>
          <cell r="T174">
            <v>0</v>
          </cell>
          <cell r="Z174">
            <v>0</v>
          </cell>
          <cell r="AF174">
            <v>0</v>
          </cell>
        </row>
        <row r="175">
          <cell r="B175" t="str">
            <v>- od jednostek powiązanych</v>
          </cell>
          <cell r="T175">
            <v>0</v>
          </cell>
          <cell r="Z175">
            <v>0</v>
          </cell>
          <cell r="AF175">
            <v>0</v>
          </cell>
        </row>
        <row r="176">
          <cell r="B176" t="str">
            <v>II. Odsetki, w tym:</v>
          </cell>
          <cell r="T176">
            <v>0</v>
          </cell>
          <cell r="Z176">
            <v>41.62</v>
          </cell>
          <cell r="AF176">
            <v>587.01</v>
          </cell>
        </row>
        <row r="177">
          <cell r="B177" t="str">
            <v>- od jednostek powiązanych</v>
          </cell>
          <cell r="T177">
            <v>0</v>
          </cell>
          <cell r="Z177">
            <v>0</v>
          </cell>
          <cell r="AF177">
            <v>0</v>
          </cell>
        </row>
        <row r="178">
          <cell r="B178" t="str">
            <v>III. Zysk ze zbycia inwestycji</v>
          </cell>
          <cell r="T178">
            <v>0</v>
          </cell>
          <cell r="Z178">
            <v>0</v>
          </cell>
          <cell r="AF178">
            <v>0</v>
          </cell>
        </row>
        <row r="179">
          <cell r="B179" t="str">
            <v>IV. Aktualizacja wartości inwestycji</v>
          </cell>
          <cell r="T179">
            <v>0</v>
          </cell>
          <cell r="Z179">
            <v>0</v>
          </cell>
          <cell r="AF179">
            <v>0</v>
          </cell>
        </row>
        <row r="180">
          <cell r="B180" t="str">
            <v>V. Inne</v>
          </cell>
          <cell r="T180">
            <v>62149.02</v>
          </cell>
          <cell r="Z180">
            <v>507235.97</v>
          </cell>
          <cell r="AF180">
            <v>0</v>
          </cell>
        </row>
        <row r="181">
          <cell r="B181" t="str">
            <v>H. KOSZTY FINANSOWE</v>
          </cell>
          <cell r="T181">
            <v>193261.51</v>
          </cell>
          <cell r="Z181">
            <v>159069.23000000001</v>
          </cell>
          <cell r="AF181">
            <v>485861.33</v>
          </cell>
        </row>
        <row r="182">
          <cell r="B182" t="str">
            <v>I. Odsetki, w tym:</v>
          </cell>
          <cell r="T182">
            <v>185761.51</v>
          </cell>
          <cell r="Z182">
            <v>148069.23000000001</v>
          </cell>
          <cell r="AF182">
            <v>60904.81</v>
          </cell>
        </row>
        <row r="183">
          <cell r="B183" t="str">
            <v>- dla jednostek powiązanych</v>
          </cell>
          <cell r="T183">
            <v>15348.64</v>
          </cell>
          <cell r="Z183">
            <v>16343.95</v>
          </cell>
          <cell r="AF183">
            <v>18050.96</v>
          </cell>
        </row>
        <row r="184">
          <cell r="B184" t="str">
            <v>II. Strata ze zbycia inwestycji</v>
          </cell>
          <cell r="T184">
            <v>0</v>
          </cell>
          <cell r="Z184">
            <v>0</v>
          </cell>
          <cell r="AF184">
            <v>0</v>
          </cell>
        </row>
        <row r="185">
          <cell r="B185" t="str">
            <v>III. Aktualizacja wartości inwestycji</v>
          </cell>
          <cell r="T185">
            <v>0</v>
          </cell>
          <cell r="Z185">
            <v>0</v>
          </cell>
          <cell r="AF185">
            <v>0</v>
          </cell>
        </row>
        <row r="186">
          <cell r="B186" t="str">
            <v>IV. Inne</v>
          </cell>
          <cell r="T186">
            <v>7500</v>
          </cell>
          <cell r="Z186">
            <v>11000</v>
          </cell>
          <cell r="AF186">
            <v>424956.52</v>
          </cell>
        </row>
        <row r="187">
          <cell r="B187" t="str">
            <v>I. ZYSK (STRATA) Z DZIAŁALN. GOSPODARCZ. (F+G-H)</v>
          </cell>
          <cell r="T187">
            <v>1497056.8899999964</v>
          </cell>
          <cell r="Z187">
            <v>685206.75999999931</v>
          </cell>
          <cell r="AF187">
            <v>275591.159999998</v>
          </cell>
        </row>
        <row r="188">
          <cell r="B188" t="str">
            <v>J. WYNIK ZDARZEŃ NADZWYCZAJNYCH (J.I.-J.II.)</v>
          </cell>
          <cell r="T188">
            <v>0</v>
          </cell>
          <cell r="Z188">
            <v>0</v>
          </cell>
          <cell r="AF188">
            <v>0</v>
          </cell>
        </row>
        <row r="189">
          <cell r="B189" t="str">
            <v>I. Zyski nadzwyczajne</v>
          </cell>
          <cell r="T189">
            <v>0</v>
          </cell>
          <cell r="Z189">
            <v>0</v>
          </cell>
          <cell r="AF189">
            <v>0</v>
          </cell>
        </row>
        <row r="190">
          <cell r="B190" t="str">
            <v>II. Straty nadzwyczajne</v>
          </cell>
          <cell r="T190">
            <v>0</v>
          </cell>
          <cell r="Z190">
            <v>0</v>
          </cell>
          <cell r="AF190">
            <v>0</v>
          </cell>
        </row>
        <row r="191">
          <cell r="B191" t="str">
            <v>K. ZYSK (STRATA) BRUTTO (I±J)</v>
          </cell>
          <cell r="T191">
            <v>1497056.8899999964</v>
          </cell>
          <cell r="Z191">
            <v>685206.75999999931</v>
          </cell>
          <cell r="AF191">
            <v>275591.159999998</v>
          </cell>
        </row>
        <row r="192">
          <cell r="B192" t="str">
            <v>L. PODATEK DOCHODOWY</v>
          </cell>
          <cell r="T192">
            <v>240589</v>
          </cell>
          <cell r="Z192">
            <v>151540</v>
          </cell>
          <cell r="AF192">
            <v>119526</v>
          </cell>
        </row>
        <row r="193">
          <cell r="B193" t="str">
            <v>M. POZOSTAŁE OBOWIĄZKOWE ZMNIEJSZENIA ZYSKU</v>
          </cell>
          <cell r="T193">
            <v>0</v>
          </cell>
          <cell r="Z193">
            <v>0</v>
          </cell>
          <cell r="AF193">
            <v>0</v>
          </cell>
        </row>
        <row r="194">
          <cell r="B194" t="str">
            <v>N. ZYSK (STRATA) NETTO (K-L-M)</v>
          </cell>
          <cell r="T194">
            <v>1256467.8899999964</v>
          </cell>
          <cell r="Z194">
            <v>533666.75999999931</v>
          </cell>
          <cell r="AF194">
            <v>156065.159999998</v>
          </cell>
        </row>
        <row r="197">
          <cell r="B197" t="str">
            <v>Tabela nr 2.2</v>
          </cell>
        </row>
        <row r="198">
          <cell r="B198" t="str">
            <v>RACHUNEK ZYSKÓW I STRAT W WARIANCIE KALKULACYJNYM</v>
          </cell>
        </row>
        <row r="199">
          <cell r="B199" t="str">
            <v>Wyszczególnienie</v>
          </cell>
          <cell r="T199" t="str">
            <v>Rachunek zysków i strat za okres</v>
          </cell>
        </row>
        <row r="200">
          <cell r="T200" t="str">
            <v>od 01.01.2005        do 31.12.2005</v>
          </cell>
          <cell r="Z200" t="str">
            <v>od 01.01.2004        do 31.12.2004</v>
          </cell>
          <cell r="AF200" t="str">
            <v>od 01.01.2003        do 31.12.2003</v>
          </cell>
        </row>
        <row r="202">
          <cell r="B202" t="str">
            <v>A. PRZYCH. NETTO ZE SPRZ. PROD., TOW. I MAT., w tym:</v>
          </cell>
          <cell r="T202">
            <v>0</v>
          </cell>
          <cell r="Z202">
            <v>0</v>
          </cell>
          <cell r="AF202">
            <v>0</v>
          </cell>
        </row>
        <row r="203">
          <cell r="B203" t="str">
            <v>- od jednostek powiązanych</v>
          </cell>
        </row>
        <row r="204">
          <cell r="B204" t="str">
            <v>I. Przychody netto ze sprzedaży produktów</v>
          </cell>
        </row>
        <row r="205">
          <cell r="B205" t="str">
            <v>II. Przychody netto ze sprzedaży towarów i materiałów</v>
          </cell>
        </row>
        <row r="206">
          <cell r="B206" t="str">
            <v>B. KOSZTY SPRZEDANYCH PROD., TOW. I MAT., w tym:</v>
          </cell>
          <cell r="T206">
            <v>0</v>
          </cell>
          <cell r="Z206">
            <v>0</v>
          </cell>
          <cell r="AF206">
            <v>0</v>
          </cell>
        </row>
        <row r="207">
          <cell r="B207" t="str">
            <v>- jednostkom powiązanym</v>
          </cell>
        </row>
        <row r="208">
          <cell r="B208" t="str">
            <v>I. Koszt wytworzenia sprzedanych produktów</v>
          </cell>
        </row>
        <row r="209">
          <cell r="B209" t="str">
            <v>II. Wartość sprzedanych towarów i materiałów</v>
          </cell>
        </row>
        <row r="210">
          <cell r="B210" t="str">
            <v>C. ZYSK (STRATA) BRUTTO ZE SPRZEDAŻY (A-B)</v>
          </cell>
          <cell r="T210">
            <v>0</v>
          </cell>
          <cell r="Z210">
            <v>0</v>
          </cell>
          <cell r="AF210">
            <v>0</v>
          </cell>
        </row>
        <row r="211">
          <cell r="B211" t="str">
            <v>D. KOSZTY SPRZEDAŻY</v>
          </cell>
        </row>
        <row r="212">
          <cell r="B212" t="str">
            <v>E. KOSZTY OGÓLNEGO ZARZĄDU</v>
          </cell>
        </row>
        <row r="213">
          <cell r="B213" t="str">
            <v>F. ZYSK/STRATA ZE SPRZEDAŻY (C-D-E)</v>
          </cell>
          <cell r="T213">
            <v>0</v>
          </cell>
          <cell r="Z213">
            <v>0</v>
          </cell>
          <cell r="AF213">
            <v>0</v>
          </cell>
        </row>
        <row r="214">
          <cell r="B214" t="str">
            <v>G. POZOSTAŁE PRZYCHODY OPERACYJNE</v>
          </cell>
          <cell r="T214">
            <v>0</v>
          </cell>
          <cell r="Z214">
            <v>0</v>
          </cell>
          <cell r="AF214">
            <v>0</v>
          </cell>
        </row>
        <row r="215">
          <cell r="B215" t="str">
            <v>I. Zysk ze zbycia niefinansowych aktywów trwałych</v>
          </cell>
        </row>
        <row r="216">
          <cell r="B216" t="str">
            <v>II. Dotacje</v>
          </cell>
        </row>
        <row r="217">
          <cell r="B217" t="str">
            <v>III. Inne przychody operacyjne</v>
          </cell>
        </row>
        <row r="218">
          <cell r="B218" t="str">
            <v>H. POZOSTAŁE KOSZTY OPERACYJNE</v>
          </cell>
          <cell r="T218">
            <v>0</v>
          </cell>
          <cell r="Z218">
            <v>0</v>
          </cell>
          <cell r="AF218">
            <v>0</v>
          </cell>
        </row>
        <row r="219">
          <cell r="B219" t="str">
            <v>I. Strata ze zbycia niefinansowych aktywów trwałych</v>
          </cell>
        </row>
        <row r="220">
          <cell r="B220" t="str">
            <v>II. Aktualizacja wartości aktywów niefinansowych</v>
          </cell>
        </row>
        <row r="221">
          <cell r="B221" t="str">
            <v>III. Inne koszty operacyjne</v>
          </cell>
        </row>
        <row r="222">
          <cell r="B222" t="str">
            <v>I. ZYSK (STRATA) Z DZIAŁALN. OPERACYJNEJ (F+G-H)</v>
          </cell>
          <cell r="T222">
            <v>0</v>
          </cell>
          <cell r="Z222">
            <v>0</v>
          </cell>
          <cell r="AF222">
            <v>0</v>
          </cell>
        </row>
        <row r="223">
          <cell r="B223" t="str">
            <v>J. PRZYCHODY FINANSOWE</v>
          </cell>
          <cell r="T223">
            <v>0</v>
          </cell>
          <cell r="Z223">
            <v>0</v>
          </cell>
          <cell r="AF223">
            <v>0</v>
          </cell>
        </row>
        <row r="224">
          <cell r="B224" t="str">
            <v>I. Dywidendy i udziały w zyskach, w tym:</v>
          </cell>
        </row>
        <row r="225">
          <cell r="B225" t="str">
            <v>- od jednostek powiązanych</v>
          </cell>
        </row>
        <row r="226">
          <cell r="B226" t="str">
            <v>II. Odsetki, w tym:</v>
          </cell>
        </row>
        <row r="227">
          <cell r="B227" t="str">
            <v>- od jednostek powiązanych</v>
          </cell>
        </row>
        <row r="228">
          <cell r="B228" t="str">
            <v>III. Zysk ze zbycia inwestycji</v>
          </cell>
        </row>
        <row r="229">
          <cell r="B229" t="str">
            <v>IV. Aktualizacja wartości inwestycji</v>
          </cell>
        </row>
        <row r="230">
          <cell r="B230" t="str">
            <v>V. Inne</v>
          </cell>
        </row>
        <row r="231">
          <cell r="B231" t="str">
            <v>K. KOSZTY FINANSOWE</v>
          </cell>
          <cell r="T231">
            <v>0</v>
          </cell>
          <cell r="Z231">
            <v>0</v>
          </cell>
          <cell r="AF231">
            <v>0</v>
          </cell>
        </row>
        <row r="232">
          <cell r="B232" t="str">
            <v>I. Odsetki, w tym:</v>
          </cell>
        </row>
        <row r="233">
          <cell r="B233" t="str">
            <v>- dla jednostek powiązanych</v>
          </cell>
        </row>
        <row r="234">
          <cell r="B234" t="str">
            <v>II. Strata ze zbycia inwestycji</v>
          </cell>
        </row>
        <row r="235">
          <cell r="B235" t="str">
            <v>III. Aktualizacja wartości inwestycji</v>
          </cell>
        </row>
        <row r="236">
          <cell r="B236" t="str">
            <v>IV. Inne</v>
          </cell>
        </row>
        <row r="237">
          <cell r="B237" t="str">
            <v>L. ZYSK (STRATA) Z DZIAŁALN. GOSPODARCZ. (I+J-K)</v>
          </cell>
          <cell r="T237">
            <v>0</v>
          </cell>
          <cell r="Z237">
            <v>0</v>
          </cell>
          <cell r="AF237">
            <v>0</v>
          </cell>
        </row>
        <row r="238">
          <cell r="B238" t="str">
            <v>M. WYNIK ZDARZEŃ NADZWYCZAJNYCH (M.I.-M.II.)</v>
          </cell>
          <cell r="T238">
            <v>0</v>
          </cell>
          <cell r="Z238">
            <v>0</v>
          </cell>
          <cell r="AF238">
            <v>0</v>
          </cell>
        </row>
        <row r="239">
          <cell r="B239" t="str">
            <v>I. Zyski nadzwyczajne</v>
          </cell>
        </row>
        <row r="240">
          <cell r="B240" t="str">
            <v>II. Straty nadzwyczajne</v>
          </cell>
        </row>
        <row r="241">
          <cell r="B241" t="str">
            <v>N. ZYSK (STRATA) BRUTTO (L±M)</v>
          </cell>
          <cell r="T241">
            <v>0</v>
          </cell>
          <cell r="Z241">
            <v>0</v>
          </cell>
          <cell r="AF241">
            <v>0</v>
          </cell>
        </row>
        <row r="242">
          <cell r="B242" t="str">
            <v>O. PODATEK DOCHODOWY</v>
          </cell>
        </row>
        <row r="243">
          <cell r="B243" t="str">
            <v>P. POZOSTAŁE OBOWIĄZKOWE ZMNIEJSZENIA ZYSKU</v>
          </cell>
        </row>
        <row r="244">
          <cell r="B244" t="str">
            <v>R. ZYSK (STRATA) NETTO (N-O-P)</v>
          </cell>
          <cell r="T244">
            <v>0</v>
          </cell>
          <cell r="Z244">
            <v>0</v>
          </cell>
          <cell r="AF244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_j"/>
      <sheetName val="RZIS_j"/>
      <sheetName val="CF_j"/>
      <sheetName val="ZZKW_j"/>
      <sheetName val="1-4"/>
      <sheetName val="5-6"/>
      <sheetName val="6cd"/>
      <sheetName val="7"/>
      <sheetName val="8 "/>
      <sheetName val="9 "/>
      <sheetName val="10 "/>
      <sheetName val="10cd "/>
      <sheetName val="10-14 "/>
      <sheetName val="14.3.uzgodnienia"/>
      <sheetName val="15-16"/>
      <sheetName val="17"/>
      <sheetName val="18"/>
      <sheetName val="19"/>
      <sheetName val="20-22"/>
      <sheetName val="23-24"/>
      <sheetName val="25-27"/>
      <sheetName val="28"/>
      <sheetName val="29-30"/>
      <sheetName val="31-32"/>
      <sheetName val="33"/>
      <sheetName val="34-36"/>
      <sheetName val="37-40"/>
      <sheetName val="podział na segmenty"/>
      <sheetName val="43 - 2014"/>
      <sheetName val="bilans 31.12.2015 SKONS"/>
      <sheetName val="RZIS 31.12.2015 SKONS"/>
      <sheetName val="PSR"/>
      <sheetName val="bilans"/>
      <sheetName val="RZIS"/>
      <sheetName val="CF"/>
      <sheetName val="Arkusz5"/>
    </sheetNames>
    <sheetDataSet>
      <sheetData sheetId="0">
        <row r="11">
          <cell r="C11">
            <v>1594</v>
          </cell>
        </row>
      </sheetData>
      <sheetData sheetId="1">
        <row r="12">
          <cell r="C12">
            <v>40924</v>
          </cell>
        </row>
      </sheetData>
      <sheetData sheetId="2">
        <row r="20">
          <cell r="B20">
            <v>8006</v>
          </cell>
        </row>
      </sheetData>
      <sheetData sheetId="3"/>
      <sheetData sheetId="4"/>
      <sheetData sheetId="5">
        <row r="42">
          <cell r="D42">
            <v>62428</v>
          </cell>
          <cell r="H42">
            <v>2936000</v>
          </cell>
        </row>
      </sheetData>
      <sheetData sheetId="6">
        <row r="33">
          <cell r="C33" t="str">
            <v>Stan na 31/12/2020</v>
          </cell>
        </row>
      </sheetData>
      <sheetData sheetId="7"/>
      <sheetData sheetId="8"/>
      <sheetData sheetId="9"/>
      <sheetData sheetId="10"/>
      <sheetData sheetId="11"/>
      <sheetData sheetId="12">
        <row r="44">
          <cell r="G44">
            <v>2936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4D811-99F2-4869-AFE8-AFCF97872CB5}">
  <sheetPr>
    <pageSetUpPr fitToPage="1"/>
  </sheetPr>
  <dimension ref="A1:D77"/>
  <sheetViews>
    <sheetView showGridLines="0" tabSelected="1" view="pageBreakPreview" topLeftCell="A52" zoomScale="90" zoomScaleNormal="100" zoomScaleSheetLayoutView="90" workbookViewId="0">
      <selection activeCell="A80" sqref="A80:XFD82"/>
    </sheetView>
  </sheetViews>
  <sheetFormatPr defaultRowHeight="15"/>
  <cols>
    <col min="1" max="1" width="50.7109375" style="4" customWidth="1"/>
    <col min="2" max="2" width="7.7109375" style="54" customWidth="1"/>
    <col min="3" max="4" width="15.7109375" style="4" customWidth="1"/>
    <col min="5" max="16384" width="9.140625" style="4"/>
  </cols>
  <sheetData>
    <row r="1" spans="1:4" s="1" customFormat="1" ht="30.6" customHeight="1">
      <c r="A1" s="237" t="s">
        <v>0</v>
      </c>
      <c r="B1" s="237"/>
      <c r="C1" s="237"/>
      <c r="D1" s="237"/>
    </row>
    <row r="2" spans="1:4" s="2" customFormat="1" ht="25.15" customHeight="1">
      <c r="A2" s="238" t="s">
        <v>1</v>
      </c>
      <c r="B2" s="238"/>
      <c r="C2" s="238"/>
      <c r="D2" s="238"/>
    </row>
    <row r="3" spans="1:4" s="2" customFormat="1" ht="25.15" customHeight="1">
      <c r="A3" s="239" t="s">
        <v>2</v>
      </c>
      <c r="B3" s="240"/>
      <c r="C3" s="240"/>
      <c r="D3" s="240"/>
    </row>
    <row r="4" spans="1:4" s="2" customFormat="1" ht="25.15" customHeight="1">
      <c r="A4" s="3"/>
      <c r="B4" s="3"/>
      <c r="C4" s="3"/>
      <c r="D4" s="3"/>
    </row>
    <row r="5" spans="1:4" ht="34.9" customHeight="1">
      <c r="A5" s="241" t="s">
        <v>3</v>
      </c>
      <c r="B5" s="241"/>
      <c r="C5" s="241"/>
      <c r="D5" s="241"/>
    </row>
    <row r="6" spans="1:4">
      <c r="A6" s="232" t="s">
        <v>4</v>
      </c>
      <c r="B6" s="234" t="s">
        <v>5</v>
      </c>
      <c r="C6" s="236" t="s">
        <v>6</v>
      </c>
      <c r="D6" s="236"/>
    </row>
    <row r="7" spans="1:4" ht="25.5">
      <c r="A7" s="233"/>
      <c r="B7" s="235"/>
      <c r="C7" s="5" t="s">
        <v>7</v>
      </c>
      <c r="D7" s="5" t="s">
        <v>8</v>
      </c>
    </row>
    <row r="8" spans="1:4">
      <c r="A8" s="6"/>
      <c r="B8" s="7"/>
      <c r="C8" s="8"/>
      <c r="D8" s="8"/>
    </row>
    <row r="9" spans="1:4" ht="15" customHeight="1">
      <c r="A9" s="9" t="s">
        <v>9</v>
      </c>
      <c r="B9" s="10"/>
      <c r="C9" s="11">
        <f>SUM(C10:C17)</f>
        <v>74121000</v>
      </c>
      <c r="D9" s="12">
        <f>SUM(D10:D17)</f>
        <v>54907</v>
      </c>
    </row>
    <row r="10" spans="1:4" ht="15" customHeight="1">
      <c r="A10" s="13" t="s">
        <v>10</v>
      </c>
      <c r="B10" s="14">
        <v>13</v>
      </c>
      <c r="C10" s="15">
        <v>26137000</v>
      </c>
      <c r="D10" s="16">
        <v>8516</v>
      </c>
    </row>
    <row r="11" spans="1:4" ht="15" hidden="1" customHeight="1">
      <c r="A11" s="13" t="s">
        <v>11</v>
      </c>
      <c r="B11" s="17">
        <v>16</v>
      </c>
      <c r="C11" s="15">
        <v>0</v>
      </c>
      <c r="D11" s="18">
        <v>0</v>
      </c>
    </row>
    <row r="12" spans="1:4" ht="15" customHeight="1">
      <c r="A12" s="13" t="s">
        <v>12</v>
      </c>
      <c r="B12" s="17">
        <v>14</v>
      </c>
      <c r="C12" s="15">
        <v>38692000</v>
      </c>
      <c r="D12" s="16">
        <v>40324</v>
      </c>
    </row>
    <row r="13" spans="1:4" ht="15" customHeight="1">
      <c r="A13" s="13" t="s">
        <v>13</v>
      </c>
      <c r="B13" s="17">
        <v>15</v>
      </c>
      <c r="C13" s="15">
        <v>6146000</v>
      </c>
      <c r="D13" s="16">
        <v>3744</v>
      </c>
    </row>
    <row r="14" spans="1:4" ht="15" customHeight="1">
      <c r="A14" s="13" t="s">
        <v>14</v>
      </c>
      <c r="B14" s="17">
        <v>16</v>
      </c>
      <c r="C14" s="15">
        <v>106000</v>
      </c>
      <c r="D14" s="20">
        <v>622</v>
      </c>
    </row>
    <row r="15" spans="1:4" ht="15" customHeight="1">
      <c r="A15" s="13" t="s">
        <v>15</v>
      </c>
      <c r="B15" s="17">
        <v>10</v>
      </c>
      <c r="C15" s="15">
        <v>2546000</v>
      </c>
      <c r="D15" s="16">
        <v>1701</v>
      </c>
    </row>
    <row r="16" spans="1:4" ht="15" hidden="1" customHeight="1">
      <c r="A16" s="13" t="s">
        <v>16</v>
      </c>
      <c r="B16" s="21">
        <v>22</v>
      </c>
      <c r="C16" s="15">
        <v>0</v>
      </c>
      <c r="D16" s="18">
        <v>0</v>
      </c>
    </row>
    <row r="17" spans="1:4" ht="15" customHeight="1">
      <c r="A17" s="13" t="s">
        <v>17</v>
      </c>
      <c r="B17" s="21">
        <v>18</v>
      </c>
      <c r="C17" s="15">
        <v>494000</v>
      </c>
      <c r="D17" s="18">
        <v>0</v>
      </c>
    </row>
    <row r="18" spans="1:4" ht="15" customHeight="1">
      <c r="A18" s="9" t="s">
        <v>18</v>
      </c>
      <c r="B18" s="10"/>
      <c r="C18" s="11">
        <f>SUM(C19:C26)</f>
        <v>88731000</v>
      </c>
      <c r="D18" s="12">
        <f>SUM(D19:D26)</f>
        <v>79307</v>
      </c>
    </row>
    <row r="19" spans="1:4" ht="15" customHeight="1">
      <c r="A19" s="13" t="s">
        <v>19</v>
      </c>
      <c r="B19" s="21">
        <v>19</v>
      </c>
      <c r="C19" s="15">
        <v>5374000</v>
      </c>
      <c r="D19" s="16">
        <v>9622</v>
      </c>
    </row>
    <row r="20" spans="1:4" ht="15" customHeight="1">
      <c r="A20" s="13" t="s">
        <v>20</v>
      </c>
      <c r="B20" s="17">
        <v>20</v>
      </c>
      <c r="C20" s="22">
        <v>44839000</v>
      </c>
      <c r="D20" s="23">
        <f>45404-206</f>
        <v>45198</v>
      </c>
    </row>
    <row r="21" spans="1:4" ht="15" customHeight="1">
      <c r="A21" s="24" t="s">
        <v>21</v>
      </c>
      <c r="B21" s="17">
        <v>6.21</v>
      </c>
      <c r="C21" s="15">
        <v>10309000</v>
      </c>
      <c r="D21" s="16">
        <v>13976</v>
      </c>
    </row>
    <row r="22" spans="1:4" ht="15" customHeight="1">
      <c r="A22" s="24" t="s">
        <v>16</v>
      </c>
      <c r="B22" s="21"/>
      <c r="C22" s="15">
        <v>1830000</v>
      </c>
      <c r="D22" s="20">
        <v>2563</v>
      </c>
    </row>
    <row r="23" spans="1:4" ht="15" customHeight="1">
      <c r="A23" s="24" t="s">
        <v>22</v>
      </c>
      <c r="B23" s="21">
        <v>10</v>
      </c>
      <c r="C23" s="15">
        <v>2666000</v>
      </c>
      <c r="D23" s="16">
        <v>3583</v>
      </c>
    </row>
    <row r="24" spans="1:4" ht="15" hidden="1" customHeight="1">
      <c r="A24" s="13" t="s">
        <v>23</v>
      </c>
      <c r="B24" s="21">
        <v>23</v>
      </c>
      <c r="C24" s="15">
        <v>0</v>
      </c>
      <c r="D24" s="18">
        <v>0</v>
      </c>
    </row>
    <row r="25" spans="1:4" ht="15" customHeight="1">
      <c r="A25" s="13" t="s">
        <v>24</v>
      </c>
      <c r="B25" s="21">
        <v>34</v>
      </c>
      <c r="C25" s="15">
        <v>23713000</v>
      </c>
      <c r="D25" s="16">
        <v>4365</v>
      </c>
    </row>
    <row r="26" spans="1:4" ht="15" hidden="1" customHeight="1">
      <c r="A26" s="13" t="s">
        <v>25</v>
      </c>
      <c r="B26" s="21">
        <v>12</v>
      </c>
      <c r="C26" s="15">
        <v>0</v>
      </c>
      <c r="D26" s="18">
        <v>0</v>
      </c>
    </row>
    <row r="27" spans="1:4" ht="15" customHeight="1">
      <c r="A27" s="25" t="s">
        <v>26</v>
      </c>
      <c r="B27" s="26"/>
      <c r="C27" s="27">
        <f>C9+C18</f>
        <v>162852000</v>
      </c>
      <c r="D27" s="28">
        <f>D9+D18</f>
        <v>134214</v>
      </c>
    </row>
    <row r="28" spans="1:4" ht="15" customHeight="1">
      <c r="A28" s="29"/>
      <c r="B28" s="30"/>
      <c r="C28" s="31"/>
      <c r="D28" s="31"/>
    </row>
    <row r="29" spans="1:4" ht="34.9" customHeight="1">
      <c r="A29" s="32" t="s">
        <v>27</v>
      </c>
      <c r="B29" s="30"/>
      <c r="C29" s="31"/>
      <c r="D29" s="31"/>
    </row>
    <row r="30" spans="1:4">
      <c r="A30" s="232" t="s">
        <v>28</v>
      </c>
      <c r="B30" s="234" t="s">
        <v>5</v>
      </c>
      <c r="C30" s="236" t="s">
        <v>6</v>
      </c>
      <c r="D30" s="236"/>
    </row>
    <row r="31" spans="1:4" ht="25.5">
      <c r="A31" s="233"/>
      <c r="B31" s="235"/>
      <c r="C31" s="5" t="str">
        <f>C7</f>
        <v>Stan na 31/12/2020</v>
      </c>
      <c r="D31" s="5" t="str">
        <f>D7</f>
        <v>Stan na 31/12/2019</v>
      </c>
    </row>
    <row r="32" spans="1:4">
      <c r="A32" s="33" t="s">
        <v>29</v>
      </c>
      <c r="B32" s="34"/>
      <c r="C32" s="11">
        <f>SUM(C33:C39)</f>
        <v>95106000</v>
      </c>
      <c r="D32" s="12">
        <f>SUM(D33:D39)</f>
        <v>86948</v>
      </c>
    </row>
    <row r="33" spans="1:4">
      <c r="A33" s="36" t="s">
        <v>30</v>
      </c>
      <c r="B33" s="37">
        <v>22</v>
      </c>
      <c r="C33" s="15">
        <v>3707000</v>
      </c>
      <c r="D33" s="16">
        <v>3707</v>
      </c>
    </row>
    <row r="34" spans="1:4">
      <c r="A34" s="36" t="s">
        <v>31</v>
      </c>
      <c r="B34" s="37">
        <v>22</v>
      </c>
      <c r="C34" s="15">
        <v>38412000</v>
      </c>
      <c r="D34" s="16">
        <v>38412</v>
      </c>
    </row>
    <row r="35" spans="1:4">
      <c r="A35" s="36" t="s">
        <v>32</v>
      </c>
      <c r="B35" s="37">
        <v>23</v>
      </c>
      <c r="C35" s="15">
        <v>52937000</v>
      </c>
      <c r="D35" s="16">
        <v>44829</v>
      </c>
    </row>
    <row r="36" spans="1:4" hidden="1">
      <c r="A36" s="36" t="s">
        <v>33</v>
      </c>
      <c r="B36" s="37"/>
      <c r="C36" s="15">
        <v>0</v>
      </c>
      <c r="D36" s="18">
        <v>0</v>
      </c>
    </row>
    <row r="37" spans="1:4" ht="24" hidden="1">
      <c r="A37" s="38" t="s">
        <v>34</v>
      </c>
      <c r="B37" s="37"/>
      <c r="C37" s="15">
        <v>0</v>
      </c>
      <c r="D37" s="18">
        <v>0</v>
      </c>
    </row>
    <row r="38" spans="1:4">
      <c r="A38" s="39" t="s">
        <v>35</v>
      </c>
      <c r="B38" s="37"/>
      <c r="C38" s="15">
        <v>50000</v>
      </c>
      <c r="D38" s="18">
        <v>0</v>
      </c>
    </row>
    <row r="39" spans="1:4" ht="26.25" hidden="1" customHeight="1">
      <c r="A39" s="38" t="s">
        <v>36</v>
      </c>
      <c r="B39" s="37"/>
      <c r="C39" s="15">
        <v>0</v>
      </c>
      <c r="D39" s="18">
        <v>0</v>
      </c>
    </row>
    <row r="40" spans="1:4">
      <c r="A40" s="33" t="s">
        <v>37</v>
      </c>
      <c r="B40" s="34"/>
      <c r="C40" s="11">
        <f>C41+C52</f>
        <v>67746000</v>
      </c>
      <c r="D40" s="12">
        <f>D41+D52</f>
        <v>47266</v>
      </c>
    </row>
    <row r="41" spans="1:4">
      <c r="A41" s="40" t="s">
        <v>38</v>
      </c>
      <c r="B41" s="41"/>
      <c r="C41" s="42">
        <f>SUM(C43:C51)</f>
        <v>23615000</v>
      </c>
      <c r="D41" s="43">
        <f>SUM(D43:D51)</f>
        <v>5629</v>
      </c>
    </row>
    <row r="42" spans="1:4" hidden="1">
      <c r="A42" s="36" t="s">
        <v>39</v>
      </c>
      <c r="B42" s="44"/>
      <c r="C42" s="15"/>
      <c r="D42" s="16"/>
    </row>
    <row r="43" spans="1:4">
      <c r="A43" s="45" t="s">
        <v>40</v>
      </c>
      <c r="B43" s="46" t="s">
        <v>41</v>
      </c>
      <c r="C43" s="22">
        <v>21065000</v>
      </c>
      <c r="D43" s="23">
        <f>926-39</f>
        <v>887</v>
      </c>
    </row>
    <row r="44" spans="1:4">
      <c r="A44" s="36" t="s">
        <v>42</v>
      </c>
      <c r="B44" s="37">
        <v>24</v>
      </c>
      <c r="C44" s="22">
        <v>0</v>
      </c>
      <c r="D44" s="23">
        <v>1750</v>
      </c>
    </row>
    <row r="45" spans="1:4" hidden="1">
      <c r="A45" s="36" t="s">
        <v>43</v>
      </c>
      <c r="B45" s="37">
        <v>36</v>
      </c>
      <c r="C45" s="22">
        <v>0</v>
      </c>
      <c r="D45" s="47">
        <v>0</v>
      </c>
    </row>
    <row r="46" spans="1:4">
      <c r="A46" s="36" t="s">
        <v>44</v>
      </c>
      <c r="B46" s="37">
        <v>26</v>
      </c>
      <c r="C46" s="22">
        <v>126000</v>
      </c>
      <c r="D46" s="23">
        <v>91</v>
      </c>
    </row>
    <row r="47" spans="1:4">
      <c r="A47" s="36" t="s">
        <v>45</v>
      </c>
      <c r="B47" s="37"/>
      <c r="C47" s="22">
        <v>21000</v>
      </c>
      <c r="D47" s="48">
        <v>21</v>
      </c>
    </row>
    <row r="48" spans="1:4" hidden="1">
      <c r="A48" s="36" t="s">
        <v>46</v>
      </c>
      <c r="B48" s="37"/>
      <c r="C48" s="15">
        <v>0</v>
      </c>
      <c r="D48" s="18">
        <v>0</v>
      </c>
    </row>
    <row r="49" spans="1:4">
      <c r="A49" s="36" t="s">
        <v>47</v>
      </c>
      <c r="B49" s="37">
        <v>10</v>
      </c>
      <c r="C49" s="15">
        <v>2403000</v>
      </c>
      <c r="D49" s="16">
        <v>2880</v>
      </c>
    </row>
    <row r="50" spans="1:4" hidden="1">
      <c r="A50" s="36" t="s">
        <v>48</v>
      </c>
      <c r="B50" s="37">
        <v>35</v>
      </c>
      <c r="C50" s="15">
        <v>0</v>
      </c>
      <c r="D50" s="18">
        <v>0</v>
      </c>
    </row>
    <row r="51" spans="1:4" hidden="1">
      <c r="A51" s="36" t="s">
        <v>49</v>
      </c>
      <c r="B51" s="37"/>
      <c r="C51" s="15">
        <v>0</v>
      </c>
      <c r="D51" s="18">
        <v>0</v>
      </c>
    </row>
    <row r="52" spans="1:4">
      <c r="A52" s="49" t="s">
        <v>50</v>
      </c>
      <c r="B52" s="50"/>
      <c r="C52" s="11">
        <f>SUM(C53:C65)</f>
        <v>44131000</v>
      </c>
      <c r="D52" s="12">
        <f>SUM(D53:D65)</f>
        <v>41637</v>
      </c>
    </row>
    <row r="53" spans="1:4" ht="24" customHeight="1">
      <c r="A53" s="51" t="s">
        <v>51</v>
      </c>
      <c r="B53" s="52">
        <v>28</v>
      </c>
      <c r="C53" s="22">
        <v>14846000</v>
      </c>
      <c r="D53" s="23">
        <f>12905+2073</f>
        <v>14978</v>
      </c>
    </row>
    <row r="54" spans="1:4">
      <c r="A54" s="45" t="s">
        <v>52</v>
      </c>
      <c r="B54" s="52">
        <v>6.21</v>
      </c>
      <c r="C54" s="22">
        <v>0</v>
      </c>
      <c r="D54" s="23">
        <v>745</v>
      </c>
    </row>
    <row r="55" spans="1:4">
      <c r="A55" s="45" t="s">
        <v>53</v>
      </c>
      <c r="B55" s="52">
        <v>24</v>
      </c>
      <c r="C55" s="22">
        <v>11434000</v>
      </c>
      <c r="D55" s="23">
        <v>8266</v>
      </c>
    </row>
    <row r="56" spans="1:4" hidden="1">
      <c r="A56" s="45" t="s">
        <v>54</v>
      </c>
      <c r="B56" s="52"/>
      <c r="C56" s="22"/>
      <c r="D56" s="23"/>
    </row>
    <row r="57" spans="1:4">
      <c r="A57" s="45" t="s">
        <v>55</v>
      </c>
      <c r="B57" s="52">
        <v>25</v>
      </c>
      <c r="C57" s="22">
        <f>2637000</f>
        <v>2637000</v>
      </c>
      <c r="D57" s="23">
        <f>5523-166</f>
        <v>5357</v>
      </c>
    </row>
    <row r="58" spans="1:4" hidden="1">
      <c r="A58" s="45" t="s">
        <v>56</v>
      </c>
      <c r="B58" s="52">
        <v>33</v>
      </c>
      <c r="C58" s="22">
        <v>0</v>
      </c>
      <c r="D58" s="47">
        <v>0</v>
      </c>
    </row>
    <row r="59" spans="1:4">
      <c r="A59" s="45" t="s">
        <v>57</v>
      </c>
      <c r="B59" s="52">
        <v>10</v>
      </c>
      <c r="C59" s="22">
        <v>2107000</v>
      </c>
      <c r="D59" s="23">
        <v>430</v>
      </c>
    </row>
    <row r="60" spans="1:4" ht="24.6" customHeight="1">
      <c r="A60" s="45" t="s">
        <v>58</v>
      </c>
      <c r="B60" s="52">
        <v>10</v>
      </c>
      <c r="C60" s="22">
        <f>6147000-C59</f>
        <v>4040000</v>
      </c>
      <c r="D60" s="23">
        <f>5447-D59</f>
        <v>5017</v>
      </c>
    </row>
    <row r="61" spans="1:4" ht="16.149999999999999" customHeight="1">
      <c r="A61" s="36" t="s">
        <v>59</v>
      </c>
      <c r="B61" s="37">
        <v>35.39</v>
      </c>
      <c r="C61" s="22">
        <v>1765000</v>
      </c>
      <c r="D61" s="53">
        <v>1426</v>
      </c>
    </row>
    <row r="62" spans="1:4" ht="17.100000000000001" hidden="1" customHeight="1">
      <c r="A62" s="36" t="s">
        <v>60</v>
      </c>
      <c r="B62" s="37">
        <v>35</v>
      </c>
      <c r="C62" s="15">
        <v>0</v>
      </c>
      <c r="D62" s="18">
        <v>0</v>
      </c>
    </row>
    <row r="63" spans="1:4">
      <c r="A63" s="36" t="s">
        <v>49</v>
      </c>
      <c r="B63" s="37">
        <v>30</v>
      </c>
      <c r="C63" s="15">
        <v>876000</v>
      </c>
      <c r="D63" s="20">
        <v>1848</v>
      </c>
    </row>
    <row r="64" spans="1:4">
      <c r="A64" s="38" t="s">
        <v>61</v>
      </c>
      <c r="B64" s="37">
        <v>27</v>
      </c>
      <c r="C64" s="15">
        <v>6426000</v>
      </c>
      <c r="D64" s="16">
        <v>3570</v>
      </c>
    </row>
    <row r="65" spans="1:4" ht="24" hidden="1">
      <c r="A65" s="38" t="s">
        <v>62</v>
      </c>
      <c r="B65" s="37">
        <v>12</v>
      </c>
      <c r="C65" s="15">
        <v>0</v>
      </c>
      <c r="D65" s="18">
        <v>0</v>
      </c>
    </row>
    <row r="66" spans="1:4">
      <c r="A66" s="25" t="s">
        <v>63</v>
      </c>
      <c r="B66" s="26"/>
      <c r="C66" s="27">
        <f>C32+C40</f>
        <v>162852000</v>
      </c>
      <c r="D66" s="28">
        <f>D32+D40</f>
        <v>134214</v>
      </c>
    </row>
    <row r="77" spans="1:4">
      <c r="A77" s="55" t="s">
        <v>64</v>
      </c>
    </row>
  </sheetData>
  <mergeCells count="10">
    <mergeCell ref="A30:A31"/>
    <mergeCell ref="B30:B31"/>
    <mergeCell ref="C30:D30"/>
    <mergeCell ref="A1:D1"/>
    <mergeCell ref="A2:D2"/>
    <mergeCell ref="A3:D3"/>
    <mergeCell ref="A5:D5"/>
    <mergeCell ref="A6:A7"/>
    <mergeCell ref="B6:B7"/>
    <mergeCell ref="C6:D6"/>
  </mergeCells>
  <pageMargins left="0.70866141732283472" right="0.70866141732283472" top="0.74803149606299213" bottom="0.74803149606299213" header="0.31496062992125984" footer="0.31496062992125984"/>
  <pageSetup paperSize="9" scale="97" fitToHeight="0" orientation="portrait" r:id="rId1"/>
  <headerFooter>
    <oddHeader>&amp;L&amp;"Lato Light,Standardowy"&amp;8&amp;KE73E2ARoczne skonsolidowane sprawozdanie finansowe Grupy Ailleron SA za okres od 1 stycznia 2020 r. do 31 grudnia 2020 r.
(wszystkie kwoty podano w tys.PLN, o ile nie wskazano inaczej)</oddHeader>
    <oddFooter>&amp;C&amp;P</oddFooter>
  </headerFooter>
  <rowBreaks count="1" manualBreakCount="1">
    <brk id="28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932BC-21A0-4281-B1DC-0413FBF89D13}">
  <sheetPr>
    <pageSetUpPr fitToPage="1"/>
  </sheetPr>
  <dimension ref="A1:K79"/>
  <sheetViews>
    <sheetView showGridLines="0" view="pageBreakPreview" zoomScale="90" zoomScaleNormal="100" zoomScaleSheetLayoutView="90" workbookViewId="0">
      <selection activeCell="R80" sqref="R80"/>
    </sheetView>
  </sheetViews>
  <sheetFormatPr defaultRowHeight="15"/>
  <cols>
    <col min="1" max="1" width="50.7109375" style="4" customWidth="1"/>
    <col min="2" max="2" width="7.7109375" style="4" customWidth="1"/>
    <col min="3" max="4" width="15.7109375" style="4" customWidth="1"/>
    <col min="5" max="16384" width="9.140625" style="4"/>
  </cols>
  <sheetData>
    <row r="1" spans="1:11" s="56" customFormat="1" ht="34.9" customHeight="1">
      <c r="A1" s="246" t="s">
        <v>65</v>
      </c>
      <c r="B1" s="246"/>
      <c r="C1" s="246"/>
      <c r="D1" s="246"/>
    </row>
    <row r="2" spans="1:11" ht="12.75" customHeight="1">
      <c r="A2" s="247" t="s">
        <v>66</v>
      </c>
      <c r="B2" s="234" t="s">
        <v>5</v>
      </c>
      <c r="C2" s="248" t="s">
        <v>67</v>
      </c>
      <c r="D2" s="248"/>
    </row>
    <row r="3" spans="1:11" ht="39.75" customHeight="1">
      <c r="A3" s="247"/>
      <c r="B3" s="235"/>
      <c r="C3" s="57" t="s">
        <v>68</v>
      </c>
      <c r="D3" s="57" t="s">
        <v>69</v>
      </c>
    </row>
    <row r="4" spans="1:11">
      <c r="A4" s="58" t="s">
        <v>70</v>
      </c>
      <c r="B4" s="58"/>
      <c r="C4" s="59"/>
      <c r="D4" s="60"/>
    </row>
    <row r="5" spans="1:11">
      <c r="A5" s="61" t="s">
        <v>71</v>
      </c>
      <c r="B5" s="62" t="s">
        <v>72</v>
      </c>
      <c r="C5" s="63">
        <f>SUM(C6:C8)</f>
        <v>156204000</v>
      </c>
      <c r="D5" s="64">
        <f>SUM(D6:D8)</f>
        <v>140661</v>
      </c>
      <c r="G5" s="35"/>
    </row>
    <row r="6" spans="1:11" hidden="1">
      <c r="A6" s="65" t="s">
        <v>73</v>
      </c>
      <c r="B6" s="65"/>
      <c r="C6" s="15">
        <v>0</v>
      </c>
      <c r="D6" s="18">
        <v>0</v>
      </c>
    </row>
    <row r="7" spans="1:11">
      <c r="A7" s="65" t="s">
        <v>74</v>
      </c>
      <c r="B7" s="65"/>
      <c r="C7" s="66">
        <v>148506000</v>
      </c>
      <c r="D7" s="67">
        <v>130875</v>
      </c>
    </row>
    <row r="8" spans="1:11">
      <c r="A8" s="65" t="s">
        <v>75</v>
      </c>
      <c r="B8" s="65"/>
      <c r="C8" s="66">
        <v>7698000</v>
      </c>
      <c r="D8" s="67">
        <v>9786</v>
      </c>
    </row>
    <row r="9" spans="1:11" ht="22.5">
      <c r="A9" s="68" t="s">
        <v>76</v>
      </c>
      <c r="B9" s="69"/>
      <c r="C9" s="63">
        <f>SUM(C10:C12)</f>
        <v>108417000</v>
      </c>
      <c r="D9" s="64">
        <f>SUM(D10:D12)</f>
        <v>107603</v>
      </c>
      <c r="K9" s="70"/>
    </row>
    <row r="10" spans="1:11" hidden="1">
      <c r="A10" s="65" t="s">
        <v>77</v>
      </c>
      <c r="B10" s="65"/>
      <c r="C10" s="15">
        <v>0</v>
      </c>
      <c r="D10" s="18">
        <v>0</v>
      </c>
    </row>
    <row r="11" spans="1:11">
      <c r="A11" s="65" t="s">
        <v>78</v>
      </c>
      <c r="B11" s="65"/>
      <c r="C11" s="71">
        <v>101531000</v>
      </c>
      <c r="D11" s="67">
        <v>100328</v>
      </c>
      <c r="F11" s="72"/>
    </row>
    <row r="12" spans="1:11">
      <c r="A12" s="65" t="s">
        <v>79</v>
      </c>
      <c r="B12" s="65"/>
      <c r="C12" s="71">
        <v>6886000</v>
      </c>
      <c r="D12" s="67">
        <v>7275</v>
      </c>
    </row>
    <row r="13" spans="1:11">
      <c r="A13" s="61" t="s">
        <v>80</v>
      </c>
      <c r="B13" s="61"/>
      <c r="C13" s="63">
        <f>C5-C9</f>
        <v>47787000</v>
      </c>
      <c r="D13" s="64">
        <f>D5-D9</f>
        <v>33058</v>
      </c>
    </row>
    <row r="14" spans="1:11">
      <c r="A14" s="65" t="s">
        <v>81</v>
      </c>
      <c r="B14" s="65"/>
      <c r="C14" s="66">
        <v>15674000</v>
      </c>
      <c r="D14" s="67">
        <v>17014</v>
      </c>
    </row>
    <row r="15" spans="1:11">
      <c r="A15" s="65" t="s">
        <v>82</v>
      </c>
      <c r="B15" s="65"/>
      <c r="C15" s="66">
        <v>16252000</v>
      </c>
      <c r="D15" s="67">
        <v>11856</v>
      </c>
    </row>
    <row r="16" spans="1:11">
      <c r="A16" s="65" t="s">
        <v>83</v>
      </c>
      <c r="B16" s="73">
        <v>9</v>
      </c>
      <c r="C16" s="66">
        <v>69000</v>
      </c>
      <c r="D16" s="74">
        <v>134</v>
      </c>
    </row>
    <row r="17" spans="1:8">
      <c r="A17" s="65" t="s">
        <v>84</v>
      </c>
      <c r="B17" s="73">
        <v>9</v>
      </c>
      <c r="C17" s="66">
        <v>410000</v>
      </c>
      <c r="D17" s="74">
        <v>220</v>
      </c>
    </row>
    <row r="18" spans="1:8">
      <c r="A18" s="61" t="s">
        <v>85</v>
      </c>
      <c r="B18" s="62"/>
      <c r="C18" s="63">
        <f>C13-C14-C15+C16-C17</f>
        <v>15520000</v>
      </c>
      <c r="D18" s="64">
        <f>D13-D14-D15+D16-D17</f>
        <v>4102</v>
      </c>
      <c r="E18" s="72"/>
      <c r="F18" s="72"/>
      <c r="G18" s="75"/>
      <c r="H18" s="72"/>
    </row>
    <row r="19" spans="1:8">
      <c r="A19" s="65" t="s">
        <v>86</v>
      </c>
      <c r="B19" s="73">
        <v>7</v>
      </c>
      <c r="C19" s="66">
        <v>240000</v>
      </c>
      <c r="D19" s="74">
        <v>57</v>
      </c>
    </row>
    <row r="20" spans="1:8">
      <c r="A20" s="65" t="s">
        <v>87</v>
      </c>
      <c r="B20" s="73">
        <v>8</v>
      </c>
      <c r="C20" s="66">
        <v>2236000</v>
      </c>
      <c r="D20" s="67">
        <v>2380</v>
      </c>
    </row>
    <row r="21" spans="1:8" hidden="1">
      <c r="A21" s="65" t="s">
        <v>88</v>
      </c>
      <c r="B21" s="73"/>
      <c r="C21" s="15">
        <v>0</v>
      </c>
      <c r="D21" s="18">
        <v>0</v>
      </c>
    </row>
    <row r="22" spans="1:8" hidden="1">
      <c r="A22" s="65" t="s">
        <v>89</v>
      </c>
      <c r="B22" s="73"/>
      <c r="C22" s="15">
        <v>0</v>
      </c>
      <c r="D22" s="18">
        <v>0</v>
      </c>
    </row>
    <row r="23" spans="1:8">
      <c r="A23" s="69" t="s">
        <v>90</v>
      </c>
      <c r="B23" s="76"/>
      <c r="C23" s="63">
        <f>C18+C19-C20</f>
        <v>13524000</v>
      </c>
      <c r="D23" s="64">
        <f>D18+D19-D20</f>
        <v>1779</v>
      </c>
    </row>
    <row r="24" spans="1:8">
      <c r="A24" s="65"/>
      <c r="B24" s="73"/>
      <c r="C24" s="66"/>
      <c r="D24" s="74"/>
    </row>
    <row r="25" spans="1:8">
      <c r="A25" s="69" t="s">
        <v>91</v>
      </c>
      <c r="B25" s="76">
        <v>10</v>
      </c>
      <c r="C25" s="63">
        <f>SUM(C26:C27)</f>
        <v>4093000</v>
      </c>
      <c r="D25" s="77">
        <f>SUM(D26:D27)</f>
        <v>1280</v>
      </c>
    </row>
    <row r="26" spans="1:8">
      <c r="A26" s="65" t="s">
        <v>92</v>
      </c>
      <c r="B26" s="65"/>
      <c r="C26" s="66">
        <v>5414000</v>
      </c>
      <c r="D26" s="67">
        <v>2216</v>
      </c>
    </row>
    <row r="27" spans="1:8">
      <c r="A27" s="65" t="s">
        <v>93</v>
      </c>
      <c r="B27" s="65"/>
      <c r="C27" s="66">
        <v>-1321000</v>
      </c>
      <c r="D27" s="74">
        <v>-936</v>
      </c>
    </row>
    <row r="28" spans="1:8">
      <c r="A28" s="69" t="s">
        <v>94</v>
      </c>
      <c r="B28" s="78">
        <v>12</v>
      </c>
      <c r="C28" s="63">
        <f>C23-C25</f>
        <v>9431000</v>
      </c>
      <c r="D28" s="64">
        <f>D23-D25</f>
        <v>499</v>
      </c>
    </row>
    <row r="29" spans="1:8">
      <c r="A29" s="79" t="s">
        <v>95</v>
      </c>
      <c r="B29" s="78"/>
      <c r="C29" s="63"/>
      <c r="D29" s="77"/>
    </row>
    <row r="30" spans="1:8" hidden="1">
      <c r="A30" s="69" t="s">
        <v>96</v>
      </c>
      <c r="B30" s="78">
        <v>11</v>
      </c>
      <c r="C30" s="15">
        <v>0</v>
      </c>
      <c r="D30" s="18">
        <v>0</v>
      </c>
    </row>
    <row r="31" spans="1:8">
      <c r="A31" s="69" t="s">
        <v>35</v>
      </c>
      <c r="B31" s="78"/>
      <c r="C31" s="11">
        <v>29000</v>
      </c>
      <c r="D31" s="11">
        <v>0</v>
      </c>
    </row>
    <row r="32" spans="1:8">
      <c r="A32" s="79" t="s">
        <v>97</v>
      </c>
      <c r="B32" s="78"/>
      <c r="C32" s="11">
        <f>C28-C31</f>
        <v>9402000</v>
      </c>
      <c r="D32" s="80">
        <f>D28-D31</f>
        <v>499</v>
      </c>
    </row>
    <row r="33" spans="1:7">
      <c r="A33" s="25" t="s">
        <v>98</v>
      </c>
      <c r="B33" s="25"/>
      <c r="C33" s="81">
        <f>C28</f>
        <v>9431000</v>
      </c>
      <c r="D33" s="28">
        <f>D28</f>
        <v>499</v>
      </c>
      <c r="E33" s="35"/>
      <c r="F33" s="35"/>
    </row>
    <row r="34" spans="1:7">
      <c r="A34" s="82"/>
      <c r="B34" s="82"/>
      <c r="C34" s="83"/>
      <c r="D34" s="83"/>
    </row>
    <row r="35" spans="1:7" s="56" customFormat="1" ht="34.9" customHeight="1">
      <c r="A35" s="241" t="s">
        <v>99</v>
      </c>
      <c r="B35" s="241"/>
      <c r="C35" s="241"/>
      <c r="D35" s="241"/>
    </row>
    <row r="36" spans="1:7">
      <c r="A36" s="247" t="s">
        <v>66</v>
      </c>
      <c r="B36" s="249" t="s">
        <v>5</v>
      </c>
      <c r="C36" s="248" t="s">
        <v>67</v>
      </c>
      <c r="D36" s="248"/>
    </row>
    <row r="37" spans="1:7" ht="36">
      <c r="A37" s="247"/>
      <c r="B37" s="250"/>
      <c r="C37" s="57" t="str">
        <f>C3</f>
        <v>Okres 
zakończony 
31/12/2020</v>
      </c>
      <c r="D37" s="57" t="str">
        <f>D3</f>
        <v>Okres 
zakończony 31/12/2019</v>
      </c>
    </row>
    <row r="38" spans="1:7">
      <c r="A38" s="84" t="s">
        <v>100</v>
      </c>
      <c r="B38" s="84"/>
      <c r="C38" s="85">
        <f>C33</f>
        <v>9431000</v>
      </c>
      <c r="D38" s="86">
        <f>D33</f>
        <v>499</v>
      </c>
    </row>
    <row r="39" spans="1:7">
      <c r="A39" s="65" t="s">
        <v>101</v>
      </c>
      <c r="B39" s="65"/>
      <c r="C39" s="66">
        <f>C33</f>
        <v>9431000</v>
      </c>
      <c r="D39" s="67">
        <f>D33</f>
        <v>499</v>
      </c>
    </row>
    <row r="40" spans="1:7" hidden="1">
      <c r="A40" s="84" t="s">
        <v>102</v>
      </c>
      <c r="B40" s="84"/>
      <c r="C40" s="15">
        <v>0</v>
      </c>
      <c r="D40" s="18">
        <v>0</v>
      </c>
    </row>
    <row r="41" spans="1:7">
      <c r="A41" s="65" t="s">
        <v>103</v>
      </c>
      <c r="B41" s="73">
        <v>12</v>
      </c>
      <c r="C41" s="242"/>
      <c r="D41" s="244"/>
    </row>
    <row r="42" spans="1:7">
      <c r="A42" s="65" t="s">
        <v>104</v>
      </c>
      <c r="B42" s="65"/>
      <c r="C42" s="243"/>
      <c r="D42" s="245"/>
    </row>
    <row r="43" spans="1:7">
      <c r="A43" s="65" t="s">
        <v>105</v>
      </c>
      <c r="B43" s="65"/>
      <c r="C43" s="66"/>
      <c r="D43" s="74"/>
    </row>
    <row r="44" spans="1:7">
      <c r="A44" s="65" t="s">
        <v>106</v>
      </c>
      <c r="B44" s="65"/>
      <c r="C44" s="87">
        <f>C38/12355504</f>
        <v>0.76330354471982687</v>
      </c>
      <c r="D44" s="88">
        <f>D39/12355504*1000</f>
        <v>4.0386859168189335E-2</v>
      </c>
    </row>
    <row r="45" spans="1:7">
      <c r="A45" s="65" t="s">
        <v>107</v>
      </c>
      <c r="B45" s="65"/>
      <c r="C45" s="87">
        <f>C39/12355504</f>
        <v>0.76330354471982687</v>
      </c>
      <c r="D45" s="89">
        <f>D44</f>
        <v>4.0386859168189335E-2</v>
      </c>
    </row>
    <row r="46" spans="1:7">
      <c r="A46" s="65" t="s">
        <v>108</v>
      </c>
      <c r="B46" s="65"/>
      <c r="C46" s="66"/>
      <c r="D46" s="74"/>
    </row>
    <row r="47" spans="1:7">
      <c r="A47" s="65" t="s">
        <v>106</v>
      </c>
      <c r="B47" s="65"/>
      <c r="C47" s="87">
        <f>C44</f>
        <v>0.76330354471982687</v>
      </c>
      <c r="D47" s="89">
        <f>D45</f>
        <v>4.0386859168189335E-2</v>
      </c>
      <c r="G47" s="90"/>
    </row>
    <row r="48" spans="1:7" ht="17.25" customHeight="1">
      <c r="A48" s="84" t="s">
        <v>107</v>
      </c>
      <c r="B48" s="84"/>
      <c r="C48" s="91">
        <f>C44</f>
        <v>0.76330354471982687</v>
      </c>
      <c r="D48" s="92">
        <f>D47</f>
        <v>4.0386859168189335E-2</v>
      </c>
    </row>
    <row r="49" spans="1:4">
      <c r="A49" s="93" t="s">
        <v>109</v>
      </c>
      <c r="B49" s="93"/>
      <c r="C49" s="66">
        <v>0</v>
      </c>
      <c r="D49" s="66">
        <v>0</v>
      </c>
    </row>
    <row r="50" spans="1:4" ht="22.5" hidden="1">
      <c r="A50" s="94" t="s">
        <v>110</v>
      </c>
      <c r="B50" s="94"/>
      <c r="C50" s="66"/>
      <c r="D50" s="74"/>
    </row>
    <row r="51" spans="1:4" hidden="1">
      <c r="A51" s="65" t="s">
        <v>111</v>
      </c>
      <c r="B51" s="65"/>
      <c r="C51" s="66" t="s">
        <v>112</v>
      </c>
      <c r="D51" s="74" t="s">
        <v>112</v>
      </c>
    </row>
    <row r="52" spans="1:4" ht="22.5" hidden="1">
      <c r="A52" s="94" t="s">
        <v>113</v>
      </c>
      <c r="B52" s="65"/>
      <c r="C52" s="66" t="s">
        <v>112</v>
      </c>
      <c r="D52" s="74" t="s">
        <v>112</v>
      </c>
    </row>
    <row r="53" spans="1:4" ht="16.899999999999999" hidden="1" customHeight="1">
      <c r="A53" s="65" t="s">
        <v>114</v>
      </c>
      <c r="B53" s="65"/>
      <c r="C53" s="66" t="s">
        <v>112</v>
      </c>
      <c r="D53" s="74" t="s">
        <v>112</v>
      </c>
    </row>
    <row r="54" spans="1:4" hidden="1">
      <c r="A54" s="65" t="s">
        <v>115</v>
      </c>
      <c r="B54" s="65"/>
      <c r="C54" s="66" t="s">
        <v>112</v>
      </c>
      <c r="D54" s="74" t="s">
        <v>112</v>
      </c>
    </row>
    <row r="55" spans="1:4" hidden="1">
      <c r="A55" s="95"/>
      <c r="B55" s="95"/>
      <c r="C55" s="96" t="s">
        <v>112</v>
      </c>
      <c r="D55" s="97" t="s">
        <v>112</v>
      </c>
    </row>
    <row r="56" spans="1:4" ht="22.5" hidden="1">
      <c r="A56" s="94" t="s">
        <v>116</v>
      </c>
      <c r="B56" s="94"/>
      <c r="C56" s="66"/>
      <c r="D56" s="74"/>
    </row>
    <row r="57" spans="1:4" hidden="1">
      <c r="A57" s="65" t="s">
        <v>117</v>
      </c>
      <c r="B57" s="65"/>
      <c r="C57" s="66" t="s">
        <v>118</v>
      </c>
      <c r="D57" s="74" t="s">
        <v>118</v>
      </c>
    </row>
    <row r="58" spans="1:4" hidden="1">
      <c r="A58" s="65" t="s">
        <v>119</v>
      </c>
      <c r="B58" s="65"/>
      <c r="C58" s="66" t="s">
        <v>118</v>
      </c>
      <c r="D58" s="74" t="s">
        <v>118</v>
      </c>
    </row>
    <row r="59" spans="1:4" ht="33.75" hidden="1">
      <c r="A59" s="94" t="s">
        <v>120</v>
      </c>
      <c r="B59" s="65"/>
      <c r="C59" s="66" t="s">
        <v>118</v>
      </c>
      <c r="D59" s="74" t="s">
        <v>118</v>
      </c>
    </row>
    <row r="60" spans="1:4" hidden="1">
      <c r="A60" s="84" t="s">
        <v>115</v>
      </c>
      <c r="B60" s="84"/>
      <c r="C60" s="85" t="s">
        <v>118</v>
      </c>
      <c r="D60" s="98" t="s">
        <v>118</v>
      </c>
    </row>
    <row r="61" spans="1:4" hidden="1">
      <c r="A61" s="65"/>
      <c r="B61" s="65"/>
      <c r="C61" s="66" t="s">
        <v>121</v>
      </c>
      <c r="D61" s="74" t="s">
        <v>121</v>
      </c>
    </row>
    <row r="62" spans="1:4" hidden="1">
      <c r="A62" s="65"/>
      <c r="B62" s="65"/>
      <c r="C62" s="66"/>
      <c r="D62" s="74"/>
    </row>
    <row r="63" spans="1:4">
      <c r="A63" s="69" t="s">
        <v>122</v>
      </c>
      <c r="B63" s="69"/>
      <c r="C63" s="63" t="s">
        <v>118</v>
      </c>
      <c r="D63" s="77" t="s">
        <v>118</v>
      </c>
    </row>
    <row r="64" spans="1:4">
      <c r="A64" s="25" t="s">
        <v>123</v>
      </c>
      <c r="B64" s="25"/>
      <c r="C64" s="27">
        <f>C39+C40</f>
        <v>9431000</v>
      </c>
      <c r="D64" s="28">
        <f>D39+D40</f>
        <v>499</v>
      </c>
    </row>
    <row r="65" spans="1:5">
      <c r="A65" s="99" t="s">
        <v>124</v>
      </c>
      <c r="B65" s="93"/>
      <c r="C65" s="100">
        <f>C64</f>
        <v>9431000</v>
      </c>
      <c r="D65" s="101">
        <f>D64</f>
        <v>499</v>
      </c>
      <c r="E65" s="19"/>
    </row>
    <row r="66" spans="1:5">
      <c r="A66" s="99" t="s">
        <v>125</v>
      </c>
      <c r="B66" s="93"/>
      <c r="C66" s="100">
        <v>0</v>
      </c>
      <c r="D66" s="100">
        <v>0</v>
      </c>
      <c r="E66" s="19"/>
    </row>
    <row r="67" spans="1:5">
      <c r="A67" s="102"/>
      <c r="B67" s="102"/>
      <c r="C67" s="102"/>
      <c r="D67" s="102"/>
    </row>
    <row r="73" spans="1:5">
      <c r="A73" s="103"/>
      <c r="B73" s="103"/>
    </row>
    <row r="77" spans="1:5">
      <c r="A77" s="55"/>
      <c r="B77" s="103"/>
    </row>
    <row r="79" spans="1:5">
      <c r="A79" s="55" t="s">
        <v>126</v>
      </c>
      <c r="B79" s="103"/>
    </row>
  </sheetData>
  <mergeCells count="10">
    <mergeCell ref="C41:C42"/>
    <mergeCell ref="D41:D42"/>
    <mergeCell ref="A1:D1"/>
    <mergeCell ref="A2:A3"/>
    <mergeCell ref="B2:B3"/>
    <mergeCell ref="C2:D2"/>
    <mergeCell ref="A35:D35"/>
    <mergeCell ref="A36:A37"/>
    <mergeCell ref="B36:B37"/>
    <mergeCell ref="C36:D36"/>
  </mergeCells>
  <pageMargins left="0.70866141732283472" right="0.70866141732283472" top="0.74803149606299213" bottom="0.74803149606299213" header="0.31496062992125984" footer="0.31496062992125984"/>
  <pageSetup paperSize="9" scale="97" fitToHeight="0" orientation="portrait" r:id="rId1"/>
  <headerFooter>
    <oddHeader>&amp;L&amp;"Lato Light,Standardowy"&amp;8&amp;KE73E2ARoczne skonsolidowane sprawozdanie finansowe Grupy Ailleron SA za okres od 1 stycznia 2020 r. do 31 grudnia 2020 r.
(wszystkie kwoty podano w tys.PLN, o ile nie wskazano inaczej)</oddHeader>
    <oddFooter>&amp;C&amp;P</oddFooter>
  </headerFooter>
  <rowBreaks count="1" manualBreakCount="1">
    <brk id="34" max="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71500-4985-49B4-8E10-1CF61B9540EF}">
  <dimension ref="A1:C83"/>
  <sheetViews>
    <sheetView showGridLines="0" view="pageBreakPreview" topLeftCell="A2" zoomScaleNormal="100" zoomScaleSheetLayoutView="100" workbookViewId="0">
      <selection activeCell="A79" sqref="A79:XFD83"/>
    </sheetView>
  </sheetViews>
  <sheetFormatPr defaultRowHeight="15"/>
  <cols>
    <col min="1" max="1" width="54.28515625" style="124" customWidth="1"/>
    <col min="2" max="3" width="15.7109375" style="4" customWidth="1"/>
    <col min="4" max="16384" width="9.140625" style="4"/>
  </cols>
  <sheetData>
    <row r="1" spans="1:3" s="56" customFormat="1" ht="34.9" customHeight="1">
      <c r="A1" s="251" t="s">
        <v>127</v>
      </c>
      <c r="B1" s="251"/>
      <c r="C1" s="251"/>
    </row>
    <row r="2" spans="1:3">
      <c r="A2" s="252"/>
      <c r="B2" s="253" t="s">
        <v>67</v>
      </c>
      <c r="C2" s="253"/>
    </row>
    <row r="3" spans="1:3" ht="34.9" customHeight="1">
      <c r="A3" s="252"/>
      <c r="B3" s="57" t="s">
        <v>128</v>
      </c>
      <c r="C3" s="57" t="s">
        <v>69</v>
      </c>
    </row>
    <row r="4" spans="1:3">
      <c r="A4" s="104" t="s">
        <v>129</v>
      </c>
      <c r="B4" s="105"/>
      <c r="C4" s="105"/>
    </row>
    <row r="5" spans="1:3">
      <c r="A5" s="68" t="s">
        <v>130</v>
      </c>
      <c r="B5" s="106">
        <f>RZIS_s!$C$39</f>
        <v>9431000</v>
      </c>
      <c r="C5" s="107">
        <f>RZIS_s!D39</f>
        <v>499</v>
      </c>
    </row>
    <row r="6" spans="1:3">
      <c r="A6" s="108" t="s">
        <v>131</v>
      </c>
      <c r="B6" s="66">
        <f>RZIS_s!C25</f>
        <v>4093000</v>
      </c>
      <c r="C6" s="67">
        <v>1280</v>
      </c>
    </row>
    <row r="7" spans="1:3" hidden="1">
      <c r="A7" s="108" t="s">
        <v>132</v>
      </c>
      <c r="B7" s="66">
        <v>0</v>
      </c>
      <c r="C7" s="109">
        <v>0</v>
      </c>
    </row>
    <row r="8" spans="1:3">
      <c r="A8" s="108" t="s">
        <v>133</v>
      </c>
      <c r="B8" s="110">
        <v>270000</v>
      </c>
      <c r="C8" s="74">
        <v>208</v>
      </c>
    </row>
    <row r="9" spans="1:3" hidden="1">
      <c r="A9" s="108" t="s">
        <v>134</v>
      </c>
      <c r="B9" s="110">
        <v>0</v>
      </c>
      <c r="C9" s="109">
        <v>0</v>
      </c>
    </row>
    <row r="10" spans="1:3">
      <c r="A10" s="108" t="s">
        <v>135</v>
      </c>
      <c r="B10" s="110">
        <v>-145000</v>
      </c>
      <c r="C10" s="74">
        <v>-82</v>
      </c>
    </row>
    <row r="11" spans="1:3" hidden="1">
      <c r="A11" s="108" t="s">
        <v>136</v>
      </c>
      <c r="B11" s="110">
        <v>0</v>
      </c>
      <c r="C11" s="111">
        <v>0</v>
      </c>
    </row>
    <row r="12" spans="1:3" ht="22.5">
      <c r="A12" s="112" t="s">
        <v>137</v>
      </c>
      <c r="B12" s="110">
        <v>0</v>
      </c>
      <c r="C12" s="113">
        <v>1444</v>
      </c>
    </row>
    <row r="13" spans="1:3">
      <c r="A13" s="108" t="s">
        <v>138</v>
      </c>
      <c r="B13" s="110">
        <v>41000</v>
      </c>
      <c r="C13" s="113">
        <v>0</v>
      </c>
    </row>
    <row r="14" spans="1:3">
      <c r="A14" s="108" t="s">
        <v>139</v>
      </c>
      <c r="B14" s="110">
        <v>1622000</v>
      </c>
      <c r="C14" s="109">
        <v>0</v>
      </c>
    </row>
    <row r="15" spans="1:3" ht="22.5">
      <c r="A15" s="112" t="s">
        <v>140</v>
      </c>
      <c r="B15" s="66">
        <v>180000</v>
      </c>
      <c r="C15" s="113">
        <v>97</v>
      </c>
    </row>
    <row r="16" spans="1:3" hidden="1">
      <c r="A16" s="108" t="s">
        <v>141</v>
      </c>
      <c r="B16" s="66">
        <v>0</v>
      </c>
      <c r="C16" s="109">
        <v>0</v>
      </c>
    </row>
    <row r="17" spans="1:3" hidden="1">
      <c r="A17" s="108" t="s">
        <v>142</v>
      </c>
      <c r="B17" s="66">
        <v>0</v>
      </c>
      <c r="C17" s="109">
        <v>0</v>
      </c>
    </row>
    <row r="18" spans="1:3">
      <c r="A18" s="108" t="s">
        <v>143</v>
      </c>
      <c r="B18" s="66">
        <v>1168000</v>
      </c>
      <c r="C18" s="67">
        <v>1162</v>
      </c>
    </row>
    <row r="19" spans="1:3">
      <c r="A19" s="114" t="s">
        <v>144</v>
      </c>
      <c r="B19" s="66">
        <v>-478000</v>
      </c>
      <c r="C19" s="74">
        <v>-713</v>
      </c>
    </row>
    <row r="20" spans="1:3">
      <c r="A20" s="108" t="s">
        <v>145</v>
      </c>
      <c r="B20" s="66">
        <v>8300000</v>
      </c>
      <c r="C20" s="67">
        <v>8396</v>
      </c>
    </row>
    <row r="21" spans="1:3" hidden="1">
      <c r="A21" s="108" t="s">
        <v>146</v>
      </c>
      <c r="B21" s="66">
        <v>0</v>
      </c>
      <c r="C21" s="109">
        <v>0</v>
      </c>
    </row>
    <row r="22" spans="1:3">
      <c r="A22" s="108" t="s">
        <v>147</v>
      </c>
      <c r="B22" s="66">
        <v>-47000</v>
      </c>
      <c r="C22" s="74">
        <v>630</v>
      </c>
    </row>
    <row r="23" spans="1:3" ht="13.9" customHeight="1">
      <c r="A23" s="108" t="s">
        <v>148</v>
      </c>
      <c r="B23" s="66">
        <v>185000</v>
      </c>
      <c r="C23" s="109">
        <v>0</v>
      </c>
    </row>
    <row r="24" spans="1:3">
      <c r="A24" s="68"/>
      <c r="B24" s="63">
        <f>SUM(B5:B23)</f>
        <v>24620000</v>
      </c>
      <c r="C24" s="64">
        <f>SUM(C5:C23)</f>
        <v>12921</v>
      </c>
    </row>
    <row r="25" spans="1:3">
      <c r="A25" s="108" t="s">
        <v>149</v>
      </c>
      <c r="B25" s="66"/>
      <c r="C25" s="74"/>
    </row>
    <row r="26" spans="1:3" ht="22.5">
      <c r="A26" s="115" t="s">
        <v>150</v>
      </c>
      <c r="B26" s="66">
        <v>95000</v>
      </c>
      <c r="C26" s="67">
        <v>3948</v>
      </c>
    </row>
    <row r="27" spans="1:3" ht="13.9" customHeight="1">
      <c r="A27" s="115" t="s">
        <v>151</v>
      </c>
      <c r="B27" s="66">
        <v>3667000</v>
      </c>
      <c r="C27" s="67">
        <v>-2575</v>
      </c>
    </row>
    <row r="28" spans="1:3">
      <c r="A28" s="115" t="s">
        <v>152</v>
      </c>
      <c r="B28" s="110">
        <v>235000</v>
      </c>
      <c r="C28" s="116">
        <v>-1041</v>
      </c>
    </row>
    <row r="29" spans="1:3">
      <c r="A29" s="115" t="s">
        <v>153</v>
      </c>
      <c r="B29" s="110">
        <v>-844000</v>
      </c>
      <c r="C29" s="116">
        <v>-2338</v>
      </c>
    </row>
    <row r="30" spans="1:3" ht="26.1" customHeight="1">
      <c r="A30" s="115" t="s">
        <v>154</v>
      </c>
      <c r="B30" s="110">
        <f>5291000-3620000-5000</f>
        <v>1666000</v>
      </c>
      <c r="C30" s="116">
        <v>-4227</v>
      </c>
    </row>
    <row r="31" spans="1:3" ht="15.6" customHeight="1">
      <c r="A31" s="115" t="s">
        <v>155</v>
      </c>
      <c r="B31" s="110">
        <v>-1912000</v>
      </c>
      <c r="C31" s="116">
        <v>1822</v>
      </c>
    </row>
    <row r="32" spans="1:3">
      <c r="A32" s="108" t="s">
        <v>156</v>
      </c>
      <c r="B32" s="110">
        <v>-94000</v>
      </c>
      <c r="C32" s="116">
        <v>1343</v>
      </c>
    </row>
    <row r="33" spans="1:3">
      <c r="A33" s="108" t="s">
        <v>157</v>
      </c>
      <c r="B33" s="110">
        <v>-594000</v>
      </c>
      <c r="C33" s="116">
        <v>318</v>
      </c>
    </row>
    <row r="34" spans="1:3">
      <c r="A34" s="108" t="s">
        <v>158</v>
      </c>
      <c r="B34" s="110">
        <f>-830000+3620000</f>
        <v>2790000</v>
      </c>
      <c r="C34" s="116">
        <v>-962</v>
      </c>
    </row>
    <row r="35" spans="1:3">
      <c r="A35" s="117" t="s">
        <v>159</v>
      </c>
      <c r="B35" s="63">
        <f>SUM(B24:B34)</f>
        <v>29629000</v>
      </c>
      <c r="C35" s="64">
        <f>SUM(C24:C34)</f>
        <v>9209</v>
      </c>
    </row>
    <row r="36" spans="1:3">
      <c r="A36" s="108" t="s">
        <v>160</v>
      </c>
      <c r="B36" s="66">
        <v>-222000</v>
      </c>
      <c r="C36" s="74">
        <v>-839</v>
      </c>
    </row>
    <row r="37" spans="1:3">
      <c r="A37" s="108" t="s">
        <v>161</v>
      </c>
      <c r="B37" s="66">
        <v>-3688000</v>
      </c>
      <c r="C37" s="67">
        <v>-2443</v>
      </c>
    </row>
    <row r="38" spans="1:3">
      <c r="A38" s="118" t="s">
        <v>162</v>
      </c>
      <c r="B38" s="63">
        <f>SUM(B35:B37)</f>
        <v>25719000</v>
      </c>
      <c r="C38" s="64">
        <f>SUM(C35:C37)</f>
        <v>5927</v>
      </c>
    </row>
    <row r="39" spans="1:3" s="56" customFormat="1" ht="34.9" customHeight="1">
      <c r="A39" s="251" t="s">
        <v>163</v>
      </c>
      <c r="B39" s="251"/>
      <c r="C39" s="251"/>
    </row>
    <row r="40" spans="1:3">
      <c r="A40" s="252"/>
      <c r="B40" s="253" t="s">
        <v>67</v>
      </c>
      <c r="C40" s="253"/>
    </row>
    <row r="41" spans="1:3" ht="34.9" customHeight="1">
      <c r="A41" s="252"/>
      <c r="B41" s="57" t="str">
        <f>B3</f>
        <v>Okres 
zakończony 31/12/2020</v>
      </c>
      <c r="C41" s="57" t="str">
        <f>C3</f>
        <v>Okres 
zakończony 31/12/2019</v>
      </c>
    </row>
    <row r="42" spans="1:3" ht="15" customHeight="1">
      <c r="A42" s="104" t="s">
        <v>164</v>
      </c>
      <c r="B42" s="85"/>
      <c r="C42" s="98"/>
    </row>
    <row r="43" spans="1:3" hidden="1">
      <c r="A43" s="108" t="s">
        <v>165</v>
      </c>
      <c r="B43" s="66">
        <v>0</v>
      </c>
      <c r="C43" s="109">
        <v>0</v>
      </c>
    </row>
    <row r="44" spans="1:3" hidden="1">
      <c r="A44" s="108" t="s">
        <v>166</v>
      </c>
      <c r="B44" s="66">
        <v>0</v>
      </c>
      <c r="C44" s="109">
        <v>0</v>
      </c>
    </row>
    <row r="45" spans="1:3" hidden="1">
      <c r="A45" s="108" t="s">
        <v>167</v>
      </c>
      <c r="B45" s="66">
        <v>0</v>
      </c>
      <c r="C45" s="109">
        <v>0</v>
      </c>
    </row>
    <row r="46" spans="1:3">
      <c r="A46" s="108" t="s">
        <v>168</v>
      </c>
      <c r="B46" s="66">
        <v>0</v>
      </c>
      <c r="C46" s="67">
        <v>414</v>
      </c>
    </row>
    <row r="47" spans="1:3">
      <c r="A47" s="108" t="s">
        <v>169</v>
      </c>
      <c r="B47" s="110">
        <v>-179000</v>
      </c>
      <c r="C47" s="67">
        <v>-1654</v>
      </c>
    </row>
    <row r="48" spans="1:3" hidden="1">
      <c r="A48" s="108" t="s">
        <v>170</v>
      </c>
      <c r="B48" s="66">
        <v>0</v>
      </c>
      <c r="C48" s="109">
        <v>0</v>
      </c>
    </row>
    <row r="49" spans="1:3">
      <c r="A49" s="108" t="s">
        <v>171</v>
      </c>
      <c r="B49" s="66">
        <v>10000</v>
      </c>
      <c r="C49" s="109">
        <v>0</v>
      </c>
    </row>
    <row r="50" spans="1:3">
      <c r="A50" s="108" t="s">
        <v>172</v>
      </c>
      <c r="B50" s="66">
        <v>-40000</v>
      </c>
      <c r="C50" s="109">
        <v>0</v>
      </c>
    </row>
    <row r="51" spans="1:3">
      <c r="A51" s="108" t="s">
        <v>173</v>
      </c>
      <c r="B51" s="66">
        <v>-1967000</v>
      </c>
      <c r="C51" s="67">
        <v>-1953</v>
      </c>
    </row>
    <row r="52" spans="1:3">
      <c r="A52" s="108" t="s">
        <v>174</v>
      </c>
      <c r="B52" s="66">
        <v>112000</v>
      </c>
      <c r="C52" s="67">
        <v>286</v>
      </c>
    </row>
    <row r="53" spans="1:3" hidden="1">
      <c r="A53" s="108" t="s">
        <v>175</v>
      </c>
      <c r="B53" s="66">
        <v>0</v>
      </c>
      <c r="C53" s="109">
        <v>0</v>
      </c>
    </row>
    <row r="54" spans="1:3">
      <c r="A54" s="108" t="s">
        <v>176</v>
      </c>
      <c r="B54" s="66">
        <v>-493</v>
      </c>
      <c r="C54" s="119">
        <v>-493</v>
      </c>
    </row>
    <row r="55" spans="1:3" hidden="1">
      <c r="A55" s="108" t="s">
        <v>177</v>
      </c>
      <c r="B55" s="66">
        <v>0</v>
      </c>
      <c r="C55" s="109">
        <v>0</v>
      </c>
    </row>
    <row r="56" spans="1:3">
      <c r="A56" s="108" t="s">
        <v>178</v>
      </c>
      <c r="B56" s="110">
        <v>-565000</v>
      </c>
      <c r="C56" s="109">
        <v>0</v>
      </c>
    </row>
    <row r="57" spans="1:3" ht="25.15" customHeight="1">
      <c r="A57" s="118" t="s">
        <v>179</v>
      </c>
      <c r="B57" s="63">
        <f>SUM(B43:B56)</f>
        <v>-2629493</v>
      </c>
      <c r="C57" s="64">
        <f>SUM(C43:C56)</f>
        <v>-3400</v>
      </c>
    </row>
    <row r="58" spans="1:3">
      <c r="A58" s="104" t="s">
        <v>180</v>
      </c>
      <c r="B58" s="63"/>
      <c r="C58" s="77"/>
    </row>
    <row r="59" spans="1:3" hidden="1">
      <c r="A59" s="108" t="s">
        <v>181</v>
      </c>
      <c r="B59" s="66">
        <v>0</v>
      </c>
      <c r="C59" s="109">
        <v>0</v>
      </c>
    </row>
    <row r="60" spans="1:3" hidden="1">
      <c r="A60" s="108" t="s">
        <v>182</v>
      </c>
      <c r="B60" s="66">
        <v>0</v>
      </c>
      <c r="C60" s="109">
        <v>0</v>
      </c>
    </row>
    <row r="61" spans="1:3" hidden="1">
      <c r="A61" s="108" t="s">
        <v>183</v>
      </c>
      <c r="B61" s="66">
        <v>0</v>
      </c>
      <c r="C61" s="109">
        <v>0</v>
      </c>
    </row>
    <row r="62" spans="1:3" hidden="1">
      <c r="A62" s="108" t="s">
        <v>184</v>
      </c>
      <c r="B62" s="66">
        <v>0</v>
      </c>
      <c r="C62" s="109">
        <v>0</v>
      </c>
    </row>
    <row r="63" spans="1:3">
      <c r="A63" s="108" t="s">
        <v>185</v>
      </c>
      <c r="B63" s="110">
        <f>-5186000+2423000</f>
        <v>-2763000</v>
      </c>
      <c r="C63" s="67">
        <v>-2750</v>
      </c>
    </row>
    <row r="64" spans="1:3">
      <c r="A64" s="108" t="s">
        <v>186</v>
      </c>
      <c r="B64" s="110">
        <v>-104000</v>
      </c>
      <c r="C64" s="67">
        <v>-512</v>
      </c>
    </row>
    <row r="65" spans="1:3" hidden="1">
      <c r="A65" s="108" t="s">
        <v>187</v>
      </c>
      <c r="B65" s="110">
        <v>0</v>
      </c>
      <c r="C65" s="109">
        <v>0</v>
      </c>
    </row>
    <row r="66" spans="1:3" hidden="1">
      <c r="A66" s="108" t="s">
        <v>184</v>
      </c>
      <c r="B66" s="110">
        <v>0</v>
      </c>
      <c r="C66" s="109">
        <v>0</v>
      </c>
    </row>
    <row r="67" spans="1:3">
      <c r="A67" s="108" t="s">
        <v>188</v>
      </c>
      <c r="B67" s="110">
        <v>-3000</v>
      </c>
      <c r="C67" s="119">
        <v>-9</v>
      </c>
    </row>
    <row r="68" spans="1:3">
      <c r="A68" s="108" t="s">
        <v>189</v>
      </c>
      <c r="B68" s="110">
        <f>6923000-2423000</f>
        <v>4500000</v>
      </c>
      <c r="C68" s="67">
        <v>5351</v>
      </c>
    </row>
    <row r="69" spans="1:3" hidden="1">
      <c r="A69" s="108" t="s">
        <v>190</v>
      </c>
      <c r="B69" s="66">
        <v>0</v>
      </c>
      <c r="C69" s="109">
        <v>0</v>
      </c>
    </row>
    <row r="70" spans="1:3" hidden="1">
      <c r="A70" s="108" t="s">
        <v>191</v>
      </c>
      <c r="B70" s="66">
        <v>0</v>
      </c>
      <c r="C70" s="109">
        <v>0</v>
      </c>
    </row>
    <row r="71" spans="1:3" hidden="1">
      <c r="A71" s="108" t="s">
        <v>192</v>
      </c>
      <c r="B71" s="66">
        <v>0</v>
      </c>
      <c r="C71" s="120">
        <v>0</v>
      </c>
    </row>
    <row r="72" spans="1:3">
      <c r="A72" s="108" t="s">
        <v>193</v>
      </c>
      <c r="B72" s="66">
        <v>-5372000</v>
      </c>
      <c r="C72" s="67">
        <v>-3960</v>
      </c>
    </row>
    <row r="73" spans="1:3" ht="19.899999999999999" customHeight="1">
      <c r="A73" s="118" t="s">
        <v>194</v>
      </c>
      <c r="B73" s="63">
        <f>SUM(B59:B72)</f>
        <v>-3742000</v>
      </c>
      <c r="C73" s="64">
        <f>SUM(C59:C72)</f>
        <v>-1880</v>
      </c>
    </row>
    <row r="74" spans="1:3">
      <c r="A74" s="94" t="s">
        <v>195</v>
      </c>
      <c r="B74" s="66">
        <f>B38+B57+B73</f>
        <v>19347507</v>
      </c>
      <c r="C74" s="67">
        <v>647</v>
      </c>
    </row>
    <row r="75" spans="1:3" ht="17.649999999999999" customHeight="1">
      <c r="A75" s="65" t="s">
        <v>196</v>
      </c>
      <c r="B75" s="66">
        <f>C78*1000</f>
        <v>4365000</v>
      </c>
      <c r="C75" s="67">
        <v>3718</v>
      </c>
    </row>
    <row r="76" spans="1:3" hidden="1">
      <c r="A76" s="65" t="s">
        <v>197</v>
      </c>
      <c r="B76" s="66">
        <v>0</v>
      </c>
      <c r="C76" s="109">
        <v>0</v>
      </c>
    </row>
    <row r="77" spans="1:3" hidden="1">
      <c r="A77" s="65" t="s">
        <v>198</v>
      </c>
      <c r="B77" s="66">
        <v>0</v>
      </c>
      <c r="C77" s="109">
        <v>0</v>
      </c>
    </row>
    <row r="78" spans="1:3" ht="25.15" customHeight="1">
      <c r="A78" s="121" t="s">
        <v>199</v>
      </c>
      <c r="B78" s="122">
        <f>B74+B75</f>
        <v>23712507</v>
      </c>
      <c r="C78" s="123">
        <f>C74+C75</f>
        <v>4365</v>
      </c>
    </row>
    <row r="79" spans="1:3" ht="15" customHeight="1"/>
    <row r="80" spans="1:3" ht="26.25" customHeight="1"/>
    <row r="81" spans="1:1" ht="23.65" customHeight="1"/>
    <row r="82" spans="1:1" ht="27" customHeight="1">
      <c r="A82" s="125"/>
    </row>
    <row r="83" spans="1:1" ht="18" customHeight="1">
      <c r="A83" s="124" t="s">
        <v>126</v>
      </c>
    </row>
  </sheetData>
  <mergeCells count="6">
    <mergeCell ref="A1:C1"/>
    <mergeCell ref="A2:A3"/>
    <mergeCell ref="B2:C2"/>
    <mergeCell ref="A39:C39"/>
    <mergeCell ref="A40:A41"/>
    <mergeCell ref="B40:C40"/>
  </mergeCells>
  <pageMargins left="0.70866141732283472" right="0.70866141732283472" top="0.74803149606299213" bottom="0.74803149606299213" header="0.31496062992125984" footer="0.31496062992125984"/>
  <pageSetup paperSize="9" fitToHeight="2" orientation="portrait" r:id="rId1"/>
  <headerFooter>
    <oddHeader>&amp;L&amp;"Lato Light,Standardowy"&amp;8&amp;KE73E2ARoczne skonsolidowane sprawozdanie finansowe Grupy Ailleron SA za okres od 1 stycznia 2020 r. do 31 grudnia 2020 r.
(wszystkie kwoty podano w tys.PLN, o ile nie wskazano inaczej)</oddHeader>
    <oddFooter>&amp;C&amp;P</oddFooter>
  </headerFooter>
  <rowBreaks count="1" manualBreakCount="1">
    <brk id="38" max="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F681D-E119-4DF5-9B74-C9D4ACD00CC6}">
  <sheetPr>
    <pageSetUpPr fitToPage="1"/>
  </sheetPr>
  <dimension ref="A1:H73"/>
  <sheetViews>
    <sheetView showGridLines="0" view="pageBreakPreview" zoomScaleNormal="100" zoomScaleSheetLayoutView="100" workbookViewId="0">
      <selection activeCell="K70" sqref="K70"/>
    </sheetView>
  </sheetViews>
  <sheetFormatPr defaultColWidth="9.28515625" defaultRowHeight="15"/>
  <cols>
    <col min="1" max="1" width="43.5703125" style="4" bestFit="1" customWidth="1"/>
    <col min="2" max="3" width="8.28515625" style="4" customWidth="1"/>
    <col min="4" max="4" width="8.28515625" style="4" hidden="1" customWidth="1"/>
    <col min="5" max="6" width="8.28515625" style="4" customWidth="1"/>
    <col min="7" max="7" width="10.28515625" style="4" customWidth="1"/>
    <col min="8" max="8" width="8.28515625" style="4" customWidth="1"/>
    <col min="9" max="16384" width="9.28515625" style="4"/>
  </cols>
  <sheetData>
    <row r="1" spans="1:8" ht="28.15" customHeight="1">
      <c r="A1" s="254" t="s">
        <v>200</v>
      </c>
      <c r="B1" s="254"/>
      <c r="C1" s="254"/>
      <c r="D1" s="254"/>
      <c r="E1" s="254"/>
      <c r="F1" s="254"/>
      <c r="G1" s="254"/>
      <c r="H1" s="254"/>
    </row>
    <row r="2" spans="1:8">
      <c r="A2" s="255"/>
      <c r="B2" s="257" t="s">
        <v>67</v>
      </c>
      <c r="C2" s="258"/>
      <c r="D2" s="258"/>
      <c r="E2" s="258"/>
      <c r="F2" s="258"/>
      <c r="G2" s="258"/>
      <c r="H2" s="258"/>
    </row>
    <row r="3" spans="1:8" s="124" customFormat="1" ht="105.6" customHeight="1">
      <c r="A3" s="256"/>
      <c r="B3" s="126" t="s">
        <v>201</v>
      </c>
      <c r="C3" s="126" t="s">
        <v>202</v>
      </c>
      <c r="D3" s="126" t="s">
        <v>203</v>
      </c>
      <c r="E3" s="126" t="s">
        <v>204</v>
      </c>
      <c r="F3" s="126" t="s">
        <v>32</v>
      </c>
      <c r="G3" s="126" t="s">
        <v>205</v>
      </c>
      <c r="H3" s="127" t="s">
        <v>206</v>
      </c>
    </row>
    <row r="4" spans="1:8" ht="14.1" customHeight="1">
      <c r="A4" s="128" t="s">
        <v>207</v>
      </c>
      <c r="B4" s="129">
        <v>3707</v>
      </c>
      <c r="C4" s="129">
        <v>38412</v>
      </c>
      <c r="D4" s="130" t="s">
        <v>208</v>
      </c>
      <c r="E4" s="130" t="s">
        <v>208</v>
      </c>
      <c r="F4" s="129">
        <v>44612</v>
      </c>
      <c r="G4" s="129">
        <v>44612</v>
      </c>
      <c r="H4" s="131">
        <f>SUM(B4:F4)</f>
        <v>86731</v>
      </c>
    </row>
    <row r="5" spans="1:8" ht="14.1" hidden="1" customHeight="1">
      <c r="A5" s="132" t="s">
        <v>209</v>
      </c>
      <c r="B5" s="129" t="s">
        <v>210</v>
      </c>
      <c r="C5" s="129" t="s">
        <v>121</v>
      </c>
      <c r="D5" s="130" t="s">
        <v>211</v>
      </c>
      <c r="E5" s="130" t="s">
        <v>121</v>
      </c>
      <c r="F5" s="129" t="s">
        <v>212</v>
      </c>
      <c r="G5" s="129" t="s">
        <v>212</v>
      </c>
      <c r="H5" s="133">
        <f t="shared" ref="H5:H9" si="0">SUM(B5:F5)</f>
        <v>0</v>
      </c>
    </row>
    <row r="6" spans="1:8" ht="14.1" customHeight="1">
      <c r="A6" s="132" t="s">
        <v>213</v>
      </c>
      <c r="B6" s="129">
        <v>3707</v>
      </c>
      <c r="C6" s="129">
        <v>38412</v>
      </c>
      <c r="D6" s="130" t="s">
        <v>211</v>
      </c>
      <c r="E6" s="130" t="s">
        <v>211</v>
      </c>
      <c r="F6" s="129">
        <v>44612</v>
      </c>
      <c r="G6" s="129">
        <v>44612</v>
      </c>
      <c r="H6" s="131">
        <f t="shared" si="0"/>
        <v>86731</v>
      </c>
    </row>
    <row r="7" spans="1:8" ht="14.1" customHeight="1">
      <c r="A7" s="132" t="s">
        <v>214</v>
      </c>
      <c r="B7" s="129" t="s">
        <v>212</v>
      </c>
      <c r="C7" s="129" t="s">
        <v>212</v>
      </c>
      <c r="D7" s="130" t="s">
        <v>212</v>
      </c>
      <c r="E7" s="130" t="s">
        <v>212</v>
      </c>
      <c r="F7" s="129">
        <v>499</v>
      </c>
      <c r="G7" s="129">
        <v>499</v>
      </c>
      <c r="H7" s="131">
        <f t="shared" si="0"/>
        <v>499</v>
      </c>
    </row>
    <row r="8" spans="1:8" ht="14.1" hidden="1" customHeight="1">
      <c r="A8" s="132" t="s">
        <v>215</v>
      </c>
      <c r="B8" s="130" t="s">
        <v>121</v>
      </c>
      <c r="C8" s="130" t="s">
        <v>121</v>
      </c>
      <c r="D8" s="130" t="s">
        <v>121</v>
      </c>
      <c r="E8" s="130" t="s">
        <v>121</v>
      </c>
      <c r="F8" s="130" t="s">
        <v>212</v>
      </c>
      <c r="G8" s="130" t="s">
        <v>212</v>
      </c>
      <c r="H8" s="133">
        <f t="shared" si="0"/>
        <v>0</v>
      </c>
    </row>
    <row r="9" spans="1:8" ht="14.1" customHeight="1">
      <c r="A9" s="134" t="s">
        <v>216</v>
      </c>
      <c r="B9" s="135" t="s">
        <v>212</v>
      </c>
      <c r="C9" s="135" t="s">
        <v>212</v>
      </c>
      <c r="D9" s="135" t="s">
        <v>212</v>
      </c>
      <c r="E9" s="135" t="s">
        <v>212</v>
      </c>
      <c r="F9" s="136">
        <v>499</v>
      </c>
      <c r="G9" s="136">
        <v>499</v>
      </c>
      <c r="H9" s="131">
        <f t="shared" si="0"/>
        <v>499</v>
      </c>
    </row>
    <row r="10" spans="1:8" ht="14.1" hidden="1" customHeight="1">
      <c r="A10" s="132" t="s">
        <v>217</v>
      </c>
      <c r="B10" s="130" t="s">
        <v>212</v>
      </c>
      <c r="C10" s="130" t="s">
        <v>212</v>
      </c>
      <c r="D10" s="130" t="s">
        <v>212</v>
      </c>
      <c r="E10" s="130" t="s">
        <v>218</v>
      </c>
      <c r="F10" s="130" t="s">
        <v>219</v>
      </c>
      <c r="G10" s="130" t="s">
        <v>219</v>
      </c>
      <c r="H10" s="137" t="s">
        <v>219</v>
      </c>
    </row>
    <row r="11" spans="1:8" ht="14.1" hidden="1" customHeight="1">
      <c r="A11" s="132" t="s">
        <v>220</v>
      </c>
      <c r="B11" s="130" t="s">
        <v>212</v>
      </c>
      <c r="C11" s="130" t="s">
        <v>212</v>
      </c>
      <c r="D11" s="130" t="s">
        <v>212</v>
      </c>
      <c r="E11" s="130" t="s">
        <v>212</v>
      </c>
      <c r="F11" s="130" t="s">
        <v>219</v>
      </c>
      <c r="G11" s="130" t="s">
        <v>219</v>
      </c>
      <c r="H11" s="138" t="s">
        <v>219</v>
      </c>
    </row>
    <row r="12" spans="1:8" ht="14.1" customHeight="1">
      <c r="A12" s="139" t="s">
        <v>221</v>
      </c>
      <c r="B12" s="140">
        <v>3707</v>
      </c>
      <c r="C12" s="140">
        <v>38412</v>
      </c>
      <c r="D12" s="140" t="s">
        <v>222</v>
      </c>
      <c r="E12" s="140" t="s">
        <v>223</v>
      </c>
      <c r="F12" s="140">
        <f>F6+F9</f>
        <v>45111</v>
      </c>
      <c r="G12" s="140">
        <f>G6+G9</f>
        <v>45111</v>
      </c>
      <c r="H12" s="141">
        <f>H6+H9</f>
        <v>87230</v>
      </c>
    </row>
    <row r="13" spans="1:8" ht="14.1" hidden="1" customHeight="1">
      <c r="A13" s="132" t="s">
        <v>217</v>
      </c>
      <c r="B13" s="130" t="s">
        <v>121</v>
      </c>
      <c r="C13" s="130" t="s">
        <v>121</v>
      </c>
      <c r="D13" s="130" t="s">
        <v>121</v>
      </c>
      <c r="E13" s="130" t="s">
        <v>121</v>
      </c>
      <c r="F13" s="130" t="s">
        <v>121</v>
      </c>
      <c r="G13" s="130" t="s">
        <v>121</v>
      </c>
      <c r="H13" s="142" t="s">
        <v>121</v>
      </c>
    </row>
    <row r="14" spans="1:8" ht="14.1" hidden="1" customHeight="1">
      <c r="A14" s="132" t="s">
        <v>224</v>
      </c>
      <c r="B14" s="130" t="s">
        <v>121</v>
      </c>
      <c r="C14" s="130" t="s">
        <v>121</v>
      </c>
      <c r="D14" s="130" t="s">
        <v>121</v>
      </c>
      <c r="E14" s="130" t="s">
        <v>121</v>
      </c>
      <c r="F14" s="130" t="s">
        <v>121</v>
      </c>
      <c r="G14" s="130" t="s">
        <v>121</v>
      </c>
      <c r="H14" s="142" t="s">
        <v>121</v>
      </c>
    </row>
    <row r="15" spans="1:8" ht="14.1" customHeight="1">
      <c r="A15" s="132" t="s">
        <v>225</v>
      </c>
      <c r="B15" s="130" t="s">
        <v>121</v>
      </c>
      <c r="C15" s="130" t="s">
        <v>121</v>
      </c>
      <c r="D15" s="130" t="s">
        <v>121</v>
      </c>
      <c r="E15" s="130" t="s">
        <v>121</v>
      </c>
      <c r="F15" s="130">
        <v>-282</v>
      </c>
      <c r="G15" s="130">
        <v>-282</v>
      </c>
      <c r="H15" s="142">
        <v>-282</v>
      </c>
    </row>
    <row r="16" spans="1:8" ht="14.1" hidden="1" customHeight="1">
      <c r="A16" s="132" t="s">
        <v>226</v>
      </c>
      <c r="B16" s="130" t="s">
        <v>121</v>
      </c>
      <c r="C16" s="130" t="s">
        <v>121</v>
      </c>
      <c r="D16" s="130" t="s">
        <v>121</v>
      </c>
      <c r="E16" s="130" t="s">
        <v>121</v>
      </c>
      <c r="F16" s="130" t="s">
        <v>121</v>
      </c>
      <c r="G16" s="130" t="s">
        <v>121</v>
      </c>
      <c r="H16" s="142" t="s">
        <v>121</v>
      </c>
    </row>
    <row r="17" spans="1:8" ht="14.1" hidden="1" customHeight="1">
      <c r="A17" s="132" t="s">
        <v>227</v>
      </c>
      <c r="B17" s="130" t="s">
        <v>121</v>
      </c>
      <c r="C17" s="130" t="s">
        <v>121</v>
      </c>
      <c r="D17" s="130" t="s">
        <v>121</v>
      </c>
      <c r="E17" s="130" t="s">
        <v>121</v>
      </c>
      <c r="F17" s="130" t="s">
        <v>121</v>
      </c>
      <c r="G17" s="130" t="s">
        <v>121</v>
      </c>
      <c r="H17" s="142" t="s">
        <v>121</v>
      </c>
    </row>
    <row r="18" spans="1:8" ht="14.1" hidden="1" customHeight="1">
      <c r="A18" s="132" t="s">
        <v>228</v>
      </c>
      <c r="B18" s="130" t="s">
        <v>121</v>
      </c>
      <c r="C18" s="130" t="s">
        <v>121</v>
      </c>
      <c r="D18" s="130" t="s">
        <v>121</v>
      </c>
      <c r="E18" s="130" t="s">
        <v>121</v>
      </c>
      <c r="F18" s="130" t="s">
        <v>121</v>
      </c>
      <c r="G18" s="130" t="s">
        <v>121</v>
      </c>
      <c r="H18" s="142" t="s">
        <v>121</v>
      </c>
    </row>
    <row r="19" spans="1:8" ht="14.1" hidden="1" customHeight="1">
      <c r="A19" s="132" t="s">
        <v>229</v>
      </c>
      <c r="B19" s="130" t="s">
        <v>121</v>
      </c>
      <c r="C19" s="130" t="s">
        <v>121</v>
      </c>
      <c r="D19" s="130" t="s">
        <v>121</v>
      </c>
      <c r="E19" s="130" t="s">
        <v>121</v>
      </c>
      <c r="F19" s="130" t="s">
        <v>121</v>
      </c>
      <c r="G19" s="130" t="s">
        <v>121</v>
      </c>
      <c r="H19" s="142" t="s">
        <v>121</v>
      </c>
    </row>
    <row r="20" spans="1:8" ht="14.1" hidden="1" customHeight="1">
      <c r="A20" s="132" t="s">
        <v>230</v>
      </c>
      <c r="B20" s="130" t="s">
        <v>121</v>
      </c>
      <c r="C20" s="130" t="s">
        <v>121</v>
      </c>
      <c r="D20" s="130" t="s">
        <v>121</v>
      </c>
      <c r="E20" s="130" t="s">
        <v>121</v>
      </c>
      <c r="F20" s="130" t="s">
        <v>121</v>
      </c>
      <c r="G20" s="130" t="s">
        <v>121</v>
      </c>
      <c r="H20" s="142" t="s">
        <v>121</v>
      </c>
    </row>
    <row r="21" spans="1:8" ht="14.1" hidden="1" customHeight="1">
      <c r="A21" s="132" t="s">
        <v>231</v>
      </c>
      <c r="B21" s="130" t="s">
        <v>121</v>
      </c>
      <c r="C21" s="130" t="s">
        <v>121</v>
      </c>
      <c r="D21" s="130" t="s">
        <v>121</v>
      </c>
      <c r="E21" s="130" t="s">
        <v>121</v>
      </c>
      <c r="F21" s="130" t="s">
        <v>121</v>
      </c>
      <c r="G21" s="130" t="s">
        <v>121</v>
      </c>
      <c r="H21" s="142" t="s">
        <v>121</v>
      </c>
    </row>
    <row r="22" spans="1:8" ht="14.1" hidden="1" customHeight="1">
      <c r="A22" s="132" t="s">
        <v>232</v>
      </c>
      <c r="B22" s="130" t="s">
        <v>121</v>
      </c>
      <c r="C22" s="130" t="s">
        <v>121</v>
      </c>
      <c r="D22" s="130" t="s">
        <v>121</v>
      </c>
      <c r="E22" s="130" t="s">
        <v>121</v>
      </c>
      <c r="F22" s="130" t="s">
        <v>121</v>
      </c>
      <c r="G22" s="130" t="s">
        <v>121</v>
      </c>
      <c r="H22" s="142" t="s">
        <v>121</v>
      </c>
    </row>
    <row r="23" spans="1:8" ht="14.1" customHeight="1">
      <c r="A23" s="143" t="s">
        <v>233</v>
      </c>
      <c r="B23" s="130" t="s">
        <v>121</v>
      </c>
      <c r="C23" s="130" t="s">
        <v>121</v>
      </c>
      <c r="D23" s="130" t="s">
        <v>121</v>
      </c>
      <c r="E23" s="130" t="s">
        <v>121</v>
      </c>
      <c r="F23" s="130">
        <v>841</v>
      </c>
      <c r="G23" s="130">
        <v>841</v>
      </c>
      <c r="H23" s="131">
        <f>F23</f>
        <v>841</v>
      </c>
    </row>
    <row r="24" spans="1:8" ht="14.1" customHeight="1">
      <c r="A24" s="132" t="s">
        <v>234</v>
      </c>
      <c r="B24" s="130" t="s">
        <v>121</v>
      </c>
      <c r="C24" s="130" t="s">
        <v>121</v>
      </c>
      <c r="D24" s="130" t="s">
        <v>121</v>
      </c>
      <c r="E24" s="130" t="s">
        <v>121</v>
      </c>
      <c r="F24" s="129">
        <v>5011</v>
      </c>
      <c r="G24" s="129">
        <v>5011</v>
      </c>
      <c r="H24" s="131">
        <f t="shared" ref="H24:H29" si="1">F24</f>
        <v>5011</v>
      </c>
    </row>
    <row r="25" spans="1:8" ht="14.1" customHeight="1">
      <c r="A25" s="132" t="s">
        <v>235</v>
      </c>
      <c r="B25" s="130" t="s">
        <v>121</v>
      </c>
      <c r="C25" s="130" t="s">
        <v>121</v>
      </c>
      <c r="D25" s="130" t="s">
        <v>121</v>
      </c>
      <c r="E25" s="130" t="s">
        <v>121</v>
      </c>
      <c r="F25" s="129">
        <v>-4919</v>
      </c>
      <c r="G25" s="129">
        <v>-4919</v>
      </c>
      <c r="H25" s="131">
        <f t="shared" si="1"/>
        <v>-4919</v>
      </c>
    </row>
    <row r="26" spans="1:8" ht="14.1" customHeight="1">
      <c r="A26" s="132" t="s">
        <v>236</v>
      </c>
      <c r="B26" s="130" t="s">
        <v>121</v>
      </c>
      <c r="C26" s="130" t="s">
        <v>121</v>
      </c>
      <c r="D26" s="130" t="s">
        <v>121</v>
      </c>
      <c r="E26" s="130" t="s">
        <v>121</v>
      </c>
      <c r="F26" s="130">
        <v>-933</v>
      </c>
      <c r="G26" s="130">
        <v>-933</v>
      </c>
      <c r="H26" s="131">
        <f t="shared" si="1"/>
        <v>-933</v>
      </c>
    </row>
    <row r="27" spans="1:8" ht="14.1" hidden="1" customHeight="1">
      <c r="A27" s="132" t="s">
        <v>220</v>
      </c>
      <c r="B27" s="130" t="s">
        <v>121</v>
      </c>
      <c r="C27" s="130" t="s">
        <v>121</v>
      </c>
      <c r="D27" s="130" t="s">
        <v>121</v>
      </c>
      <c r="E27" s="130" t="s">
        <v>121</v>
      </c>
      <c r="F27" s="130" t="s">
        <v>121</v>
      </c>
      <c r="G27" s="130" t="s">
        <v>121</v>
      </c>
      <c r="H27" s="131" t="str">
        <f t="shared" si="1"/>
        <v>-</v>
      </c>
    </row>
    <row r="28" spans="1:8" ht="14.1" hidden="1" customHeight="1">
      <c r="A28" s="144" t="s">
        <v>237</v>
      </c>
      <c r="B28" s="130" t="s">
        <v>121</v>
      </c>
      <c r="C28" s="130" t="s">
        <v>121</v>
      </c>
      <c r="D28" s="130" t="s">
        <v>121</v>
      </c>
      <c r="E28" s="130" t="s">
        <v>121</v>
      </c>
      <c r="F28" s="130" t="s">
        <v>121</v>
      </c>
      <c r="G28" s="130" t="s">
        <v>121</v>
      </c>
      <c r="H28" s="131" t="str">
        <f t="shared" si="1"/>
        <v>-</v>
      </c>
    </row>
    <row r="29" spans="1:8" ht="14.1" hidden="1" customHeight="1">
      <c r="A29" s="132" t="s">
        <v>238</v>
      </c>
      <c r="B29" s="130" t="s">
        <v>121</v>
      </c>
      <c r="C29" s="130" t="s">
        <v>121</v>
      </c>
      <c r="D29" s="130" t="s">
        <v>121</v>
      </c>
      <c r="E29" s="130" t="s">
        <v>121</v>
      </c>
      <c r="F29" s="130" t="s">
        <v>121</v>
      </c>
      <c r="G29" s="130" t="s">
        <v>121</v>
      </c>
      <c r="H29" s="131" t="str">
        <f t="shared" si="1"/>
        <v>-</v>
      </c>
    </row>
    <row r="30" spans="1:8" ht="16.149999999999999" customHeight="1">
      <c r="A30" s="145" t="s">
        <v>239</v>
      </c>
      <c r="B30" s="146">
        <f>SUM(B12:B29)</f>
        <v>3707</v>
      </c>
      <c r="C30" s="146">
        <f>SUM(C12:C29)</f>
        <v>38412</v>
      </c>
      <c r="D30" s="147" t="s">
        <v>240</v>
      </c>
      <c r="E30" s="147" t="s">
        <v>240</v>
      </c>
      <c r="F30" s="146">
        <f>SUM(F12:F29)</f>
        <v>44829</v>
      </c>
      <c r="G30" s="146">
        <f>SUM(G12:G29)</f>
        <v>44829</v>
      </c>
      <c r="H30" s="148">
        <f>B30+C30+F30</f>
        <v>86948</v>
      </c>
    </row>
    <row r="31" spans="1:8" ht="28.5" customHeight="1">
      <c r="A31" s="259"/>
      <c r="B31" s="259"/>
      <c r="C31" s="259"/>
      <c r="D31" s="259"/>
      <c r="E31" s="259"/>
      <c r="F31" s="259"/>
      <c r="G31" s="259"/>
      <c r="H31" s="259"/>
    </row>
    <row r="32" spans="1:8" ht="12" customHeight="1">
      <c r="A32" s="255"/>
      <c r="B32" s="257" t="s">
        <v>67</v>
      </c>
      <c r="C32" s="258"/>
      <c r="D32" s="258"/>
      <c r="E32" s="258"/>
      <c r="F32" s="258"/>
      <c r="G32" s="258"/>
      <c r="H32" s="258"/>
    </row>
    <row r="33" spans="1:8" s="149" customFormat="1" ht="105" customHeight="1">
      <c r="A33" s="256"/>
      <c r="B33" s="126" t="s">
        <v>201</v>
      </c>
      <c r="C33" s="126" t="s">
        <v>31</v>
      </c>
      <c r="D33" s="126" t="s">
        <v>203</v>
      </c>
      <c r="E33" s="126" t="str">
        <f>E3</f>
        <v>Różnice kuroswe z przeliczenia jednostek zależnych</v>
      </c>
      <c r="F33" s="126" t="s">
        <v>32</v>
      </c>
      <c r="G33" s="126" t="s">
        <v>205</v>
      </c>
      <c r="H33" s="127" t="s">
        <v>206</v>
      </c>
    </row>
    <row r="34" spans="1:8" ht="11.65" customHeight="1">
      <c r="A34" s="150" t="s">
        <v>241</v>
      </c>
      <c r="B34" s="129">
        <v>3707</v>
      </c>
      <c r="C34" s="129">
        <v>38412</v>
      </c>
      <c r="D34" s="130" t="s">
        <v>208</v>
      </c>
      <c r="E34" s="130" t="s">
        <v>208</v>
      </c>
      <c r="F34" s="129">
        <v>44829</v>
      </c>
      <c r="G34" s="129">
        <f>F34</f>
        <v>44829</v>
      </c>
      <c r="H34" s="131">
        <f>SUM(B34:F34)</f>
        <v>86948</v>
      </c>
    </row>
    <row r="35" spans="1:8" ht="13.5" hidden="1" customHeight="1">
      <c r="A35" s="132" t="s">
        <v>209</v>
      </c>
      <c r="B35" s="129" t="s">
        <v>210</v>
      </c>
      <c r="C35" s="129" t="s">
        <v>121</v>
      </c>
      <c r="D35" s="130" t="s">
        <v>211</v>
      </c>
      <c r="E35" s="130" t="s">
        <v>121</v>
      </c>
      <c r="F35" s="129" t="s">
        <v>212</v>
      </c>
      <c r="G35" s="129" t="s">
        <v>212</v>
      </c>
      <c r="H35" s="131" t="s">
        <v>212</v>
      </c>
    </row>
    <row r="36" spans="1:8" ht="11.65" customHeight="1">
      <c r="A36" s="132" t="s">
        <v>242</v>
      </c>
      <c r="B36" s="129">
        <f>B34</f>
        <v>3707</v>
      </c>
      <c r="C36" s="129">
        <f>C34</f>
        <v>38412</v>
      </c>
      <c r="D36" s="130" t="s">
        <v>211</v>
      </c>
      <c r="E36" s="130" t="s">
        <v>211</v>
      </c>
      <c r="F36" s="129">
        <f>F34</f>
        <v>44829</v>
      </c>
      <c r="G36" s="129">
        <f>G34</f>
        <v>44829</v>
      </c>
      <c r="H36" s="131">
        <f>H34</f>
        <v>86948</v>
      </c>
    </row>
    <row r="37" spans="1:8" ht="11.65" customHeight="1">
      <c r="A37" s="132" t="s">
        <v>214</v>
      </c>
      <c r="B37" s="129" t="s">
        <v>212</v>
      </c>
      <c r="C37" s="129" t="s">
        <v>212</v>
      </c>
      <c r="D37" s="130" t="s">
        <v>212</v>
      </c>
      <c r="E37" s="130" t="s">
        <v>212</v>
      </c>
      <c r="F37" s="129">
        <v>9431</v>
      </c>
      <c r="G37" s="129">
        <v>9431</v>
      </c>
      <c r="H37" s="131">
        <f>SUM(B37:F37)</f>
        <v>9431</v>
      </c>
    </row>
    <row r="38" spans="1:8" ht="13.5" hidden="1" customHeight="1">
      <c r="A38" s="132" t="s">
        <v>215</v>
      </c>
      <c r="B38" s="130" t="s">
        <v>121</v>
      </c>
      <c r="C38" s="130" t="s">
        <v>121</v>
      </c>
      <c r="D38" s="130" t="s">
        <v>121</v>
      </c>
      <c r="E38" s="130" t="s">
        <v>121</v>
      </c>
      <c r="F38" s="130" t="s">
        <v>212</v>
      </c>
      <c r="G38" s="130" t="s">
        <v>212</v>
      </c>
      <c r="H38" s="142" t="s">
        <v>212</v>
      </c>
    </row>
    <row r="39" spans="1:8" ht="11.65" customHeight="1">
      <c r="A39" s="134" t="s">
        <v>216</v>
      </c>
      <c r="B39" s="135" t="s">
        <v>212</v>
      </c>
      <c r="C39" s="135" t="s">
        <v>212</v>
      </c>
      <c r="D39" s="135" t="s">
        <v>212</v>
      </c>
      <c r="E39" s="135" t="s">
        <v>212</v>
      </c>
      <c r="F39" s="136">
        <f>F37</f>
        <v>9431</v>
      </c>
      <c r="G39" s="136">
        <f>G37</f>
        <v>9431</v>
      </c>
      <c r="H39" s="151">
        <f>SUM(B39:F39)</f>
        <v>9431</v>
      </c>
    </row>
    <row r="40" spans="1:8" ht="13.5" hidden="1" customHeight="1">
      <c r="A40" s="132" t="s">
        <v>217</v>
      </c>
      <c r="B40" s="130" t="s">
        <v>212</v>
      </c>
      <c r="C40" s="130" t="s">
        <v>212</v>
      </c>
      <c r="D40" s="130" t="s">
        <v>212</v>
      </c>
      <c r="E40" s="130" t="s">
        <v>218</v>
      </c>
      <c r="F40" s="130" t="s">
        <v>219</v>
      </c>
      <c r="G40" s="130" t="s">
        <v>219</v>
      </c>
      <c r="H40" s="142" t="s">
        <v>219</v>
      </c>
    </row>
    <row r="41" spans="1:8" ht="13.5" hidden="1" customHeight="1">
      <c r="A41" s="132" t="s">
        <v>220</v>
      </c>
      <c r="B41" s="130" t="s">
        <v>212</v>
      </c>
      <c r="C41" s="130" t="s">
        <v>212</v>
      </c>
      <c r="D41" s="130" t="s">
        <v>212</v>
      </c>
      <c r="E41" s="130" t="s">
        <v>212</v>
      </c>
      <c r="F41" s="152">
        <v>0</v>
      </c>
      <c r="G41" s="152">
        <v>0</v>
      </c>
      <c r="H41" s="142" t="s">
        <v>212</v>
      </c>
    </row>
    <row r="42" spans="1:8" ht="14.1" customHeight="1">
      <c r="A42" s="139" t="s">
        <v>243</v>
      </c>
      <c r="B42" s="140">
        <f>B36</f>
        <v>3707</v>
      </c>
      <c r="C42" s="140">
        <f>C36</f>
        <v>38412</v>
      </c>
      <c r="D42" s="140" t="s">
        <v>222</v>
      </c>
      <c r="E42" s="140" t="s">
        <v>223</v>
      </c>
      <c r="F42" s="140">
        <f>F36+F39+F41</f>
        <v>54260</v>
      </c>
      <c r="G42" s="140">
        <f>G36+G39+G41</f>
        <v>54260</v>
      </c>
      <c r="H42" s="141">
        <f>SUM(B42:F42)</f>
        <v>96379</v>
      </c>
    </row>
    <row r="43" spans="1:8" ht="13.5" hidden="1" customHeight="1">
      <c r="A43" s="139" t="s">
        <v>215</v>
      </c>
      <c r="B43" s="153" t="s">
        <v>121</v>
      </c>
      <c r="C43" s="153" t="s">
        <v>121</v>
      </c>
      <c r="D43" s="153" t="s">
        <v>121</v>
      </c>
      <c r="E43" s="153" t="s">
        <v>121</v>
      </c>
      <c r="F43" s="153" t="s">
        <v>121</v>
      </c>
      <c r="G43" s="153" t="s">
        <v>121</v>
      </c>
      <c r="H43" s="154" t="s">
        <v>121</v>
      </c>
    </row>
    <row r="44" spans="1:8" ht="13.5" hidden="1" customHeight="1">
      <c r="A44" s="132" t="s">
        <v>217</v>
      </c>
      <c r="B44" s="130" t="s">
        <v>121</v>
      </c>
      <c r="C44" s="130" t="s">
        <v>121</v>
      </c>
      <c r="D44" s="130" t="s">
        <v>121</v>
      </c>
      <c r="E44" s="130" t="s">
        <v>121</v>
      </c>
      <c r="F44" s="130" t="s">
        <v>121</v>
      </c>
      <c r="G44" s="130" t="s">
        <v>121</v>
      </c>
      <c r="H44" s="142" t="s">
        <v>121</v>
      </c>
    </row>
    <row r="45" spans="1:8" ht="13.5" hidden="1" customHeight="1">
      <c r="A45" s="132" t="s">
        <v>224</v>
      </c>
      <c r="B45" s="130" t="s">
        <v>121</v>
      </c>
      <c r="C45" s="130" t="s">
        <v>121</v>
      </c>
      <c r="D45" s="130" t="s">
        <v>121</v>
      </c>
      <c r="E45" s="130" t="s">
        <v>121</v>
      </c>
      <c r="F45" s="130" t="s">
        <v>121</v>
      </c>
      <c r="G45" s="130" t="s">
        <v>121</v>
      </c>
      <c r="H45" s="142" t="s">
        <v>121</v>
      </c>
    </row>
    <row r="46" spans="1:8" ht="12" customHeight="1">
      <c r="A46" s="143" t="s">
        <v>244</v>
      </c>
      <c r="B46" s="130" t="s">
        <v>121</v>
      </c>
      <c r="C46" s="130" t="s">
        <v>121</v>
      </c>
      <c r="D46" s="130" t="s">
        <v>121</v>
      </c>
      <c r="E46" s="130" t="s">
        <v>121</v>
      </c>
      <c r="F46" s="129">
        <v>-1323</v>
      </c>
      <c r="G46" s="129">
        <v>-1323</v>
      </c>
      <c r="H46" s="131">
        <f>F46</f>
        <v>-1323</v>
      </c>
    </row>
    <row r="47" spans="1:8" ht="12" customHeight="1">
      <c r="A47" s="143" t="s">
        <v>35</v>
      </c>
      <c r="B47" s="155">
        <v>0</v>
      </c>
      <c r="C47" s="155">
        <v>0</v>
      </c>
      <c r="D47" s="155">
        <v>0</v>
      </c>
      <c r="E47" s="130">
        <v>50</v>
      </c>
      <c r="F47" s="155">
        <v>0</v>
      </c>
      <c r="G47" s="155">
        <v>0</v>
      </c>
      <c r="H47" s="142">
        <f>E47</f>
        <v>50</v>
      </c>
    </row>
    <row r="48" spans="1:8" ht="13.5" hidden="1" customHeight="1">
      <c r="A48" s="143" t="s">
        <v>225</v>
      </c>
      <c r="B48" s="155">
        <v>0</v>
      </c>
      <c r="C48" s="155">
        <v>0</v>
      </c>
      <c r="D48" s="155">
        <v>0</v>
      </c>
      <c r="E48" s="155">
        <v>0</v>
      </c>
      <c r="F48" s="155">
        <v>0</v>
      </c>
      <c r="G48" s="155">
        <v>0</v>
      </c>
      <c r="H48" s="133">
        <f t="shared" ref="H48" si="2">F48</f>
        <v>0</v>
      </c>
    </row>
    <row r="49" spans="1:8" ht="13.5" hidden="1" customHeight="1">
      <c r="A49" s="132" t="s">
        <v>226</v>
      </c>
      <c r="B49" s="130" t="s">
        <v>121</v>
      </c>
      <c r="C49" s="130" t="s">
        <v>121</v>
      </c>
      <c r="D49" s="130" t="s">
        <v>121</v>
      </c>
      <c r="E49" s="130" t="s">
        <v>121</v>
      </c>
      <c r="F49" s="130" t="s">
        <v>121</v>
      </c>
      <c r="G49" s="130" t="s">
        <v>121</v>
      </c>
      <c r="H49" s="142" t="str">
        <f>F49</f>
        <v>-</v>
      </c>
    </row>
    <row r="50" spans="1:8" ht="13.5" hidden="1" customHeight="1">
      <c r="A50" s="132" t="s">
        <v>227</v>
      </c>
      <c r="B50" s="130" t="s">
        <v>121</v>
      </c>
      <c r="C50" s="130" t="s">
        <v>121</v>
      </c>
      <c r="D50" s="130" t="s">
        <v>121</v>
      </c>
      <c r="E50" s="156" t="s">
        <v>121</v>
      </c>
      <c r="F50" s="130" t="s">
        <v>121</v>
      </c>
      <c r="G50" s="130" t="s">
        <v>121</v>
      </c>
      <c r="H50" s="142" t="s">
        <v>121</v>
      </c>
    </row>
    <row r="51" spans="1:8" ht="13.5" hidden="1" customHeight="1">
      <c r="A51" s="132" t="s">
        <v>228</v>
      </c>
      <c r="B51" s="130" t="s">
        <v>121</v>
      </c>
      <c r="C51" s="130" t="s">
        <v>121</v>
      </c>
      <c r="D51" s="130" t="s">
        <v>121</v>
      </c>
      <c r="E51" s="130" t="s">
        <v>121</v>
      </c>
      <c r="F51" s="130" t="s">
        <v>121</v>
      </c>
      <c r="G51" s="130" t="s">
        <v>121</v>
      </c>
      <c r="H51" s="142" t="s">
        <v>121</v>
      </c>
    </row>
    <row r="52" spans="1:8" ht="13.5" hidden="1" customHeight="1">
      <c r="A52" s="132" t="s">
        <v>229</v>
      </c>
      <c r="B52" s="130" t="s">
        <v>121</v>
      </c>
      <c r="C52" s="130" t="s">
        <v>121</v>
      </c>
      <c r="D52" s="130" t="s">
        <v>121</v>
      </c>
      <c r="E52" s="130" t="s">
        <v>121</v>
      </c>
      <c r="F52" s="130" t="s">
        <v>121</v>
      </c>
      <c r="G52" s="130" t="s">
        <v>121</v>
      </c>
      <c r="H52" s="142" t="s">
        <v>121</v>
      </c>
    </row>
    <row r="53" spans="1:8" ht="13.5" hidden="1" customHeight="1">
      <c r="A53" s="132" t="s">
        <v>230</v>
      </c>
      <c r="B53" s="130" t="s">
        <v>121</v>
      </c>
      <c r="C53" s="130" t="s">
        <v>121</v>
      </c>
      <c r="D53" s="130" t="s">
        <v>121</v>
      </c>
      <c r="E53" s="130" t="s">
        <v>121</v>
      </c>
      <c r="F53" s="130" t="s">
        <v>121</v>
      </c>
      <c r="G53" s="130" t="s">
        <v>121</v>
      </c>
      <c r="H53" s="142" t="s">
        <v>121</v>
      </c>
    </row>
    <row r="54" spans="1:8" ht="13.5" hidden="1" customHeight="1">
      <c r="A54" s="132" t="s">
        <v>231</v>
      </c>
      <c r="B54" s="130" t="s">
        <v>121</v>
      </c>
      <c r="C54" s="130" t="s">
        <v>121</v>
      </c>
      <c r="D54" s="130" t="s">
        <v>121</v>
      </c>
      <c r="E54" s="130" t="s">
        <v>121</v>
      </c>
      <c r="F54" s="130" t="s">
        <v>121</v>
      </c>
      <c r="G54" s="130" t="s">
        <v>121</v>
      </c>
      <c r="H54" s="142" t="s">
        <v>121</v>
      </c>
    </row>
    <row r="55" spans="1:8" ht="13.5" hidden="1" customHeight="1">
      <c r="A55" s="132" t="s">
        <v>232</v>
      </c>
      <c r="B55" s="130" t="s">
        <v>121</v>
      </c>
      <c r="C55" s="129" t="s">
        <v>121</v>
      </c>
      <c r="D55" s="130" t="s">
        <v>121</v>
      </c>
      <c r="E55" s="130" t="s">
        <v>121</v>
      </c>
      <c r="F55" s="130" t="s">
        <v>121</v>
      </c>
      <c r="G55" s="130" t="s">
        <v>121</v>
      </c>
      <c r="H55" s="131" t="s">
        <v>121</v>
      </c>
    </row>
    <row r="56" spans="1:8" ht="12" customHeight="1">
      <c r="A56" s="132" t="s">
        <v>233</v>
      </c>
      <c r="B56" s="130" t="s">
        <v>121</v>
      </c>
      <c r="C56" s="129" t="s">
        <v>121</v>
      </c>
      <c r="D56" s="130" t="s">
        <v>121</v>
      </c>
      <c r="E56" s="130" t="s">
        <v>121</v>
      </c>
      <c r="F56" s="130">
        <v>329</v>
      </c>
      <c r="G56" s="130">
        <v>329</v>
      </c>
      <c r="H56" s="157">
        <f>SUM(B56:F56)</f>
        <v>329</v>
      </c>
    </row>
    <row r="57" spans="1:8" ht="12" customHeight="1">
      <c r="A57" s="132" t="s">
        <v>234</v>
      </c>
      <c r="B57" s="130" t="s">
        <v>121</v>
      </c>
      <c r="C57" s="130" t="s">
        <v>121</v>
      </c>
      <c r="D57" s="130" t="s">
        <v>121</v>
      </c>
      <c r="E57" s="130" t="s">
        <v>121</v>
      </c>
      <c r="F57" s="129">
        <v>499</v>
      </c>
      <c r="G57" s="129">
        <v>499</v>
      </c>
      <c r="H57" s="157">
        <f>SUM(B57:F57)</f>
        <v>499</v>
      </c>
    </row>
    <row r="58" spans="1:8" ht="12" customHeight="1">
      <c r="A58" s="132" t="s">
        <v>235</v>
      </c>
      <c r="B58" s="130" t="s">
        <v>121</v>
      </c>
      <c r="C58" s="130" t="s">
        <v>121</v>
      </c>
      <c r="D58" s="130" t="s">
        <v>121</v>
      </c>
      <c r="E58" s="130" t="s">
        <v>121</v>
      </c>
      <c r="F58" s="129">
        <v>-6992</v>
      </c>
      <c r="G58" s="129">
        <v>-6992</v>
      </c>
      <c r="H58" s="157">
        <f>SUM(B58:F58)</f>
        <v>-6992</v>
      </c>
    </row>
    <row r="59" spans="1:8" ht="13.5" hidden="1" customHeight="1">
      <c r="A59" s="132" t="s">
        <v>236</v>
      </c>
      <c r="B59" s="130" t="s">
        <v>121</v>
      </c>
      <c r="C59" s="130" t="s">
        <v>121</v>
      </c>
      <c r="D59" s="130" t="s">
        <v>121</v>
      </c>
      <c r="E59" s="130" t="s">
        <v>121</v>
      </c>
      <c r="F59" s="158">
        <v>0</v>
      </c>
      <c r="G59" s="158">
        <v>0</v>
      </c>
      <c r="H59" s="133">
        <f t="shared" ref="H59" si="3">SUM(B59:F59)</f>
        <v>0</v>
      </c>
    </row>
    <row r="60" spans="1:8" ht="12" customHeight="1">
      <c r="A60" s="159" t="s">
        <v>245</v>
      </c>
      <c r="B60" s="155">
        <v>0</v>
      </c>
      <c r="C60" s="155">
        <v>0</v>
      </c>
      <c r="D60" s="155">
        <v>0</v>
      </c>
      <c r="E60" s="155">
        <v>0</v>
      </c>
      <c r="F60" s="129">
        <v>6164</v>
      </c>
      <c r="G60" s="129">
        <v>6164</v>
      </c>
      <c r="H60" s="157">
        <f>SUM(B60:F60)</f>
        <v>6164</v>
      </c>
    </row>
    <row r="61" spans="1:8" ht="12" hidden="1" customHeight="1">
      <c r="A61" s="132" t="s">
        <v>220</v>
      </c>
      <c r="B61" s="130" t="s">
        <v>121</v>
      </c>
      <c r="C61" s="130" t="s">
        <v>121</v>
      </c>
      <c r="D61" s="130" t="s">
        <v>121</v>
      </c>
      <c r="E61" s="130" t="s">
        <v>121</v>
      </c>
      <c r="F61" s="158">
        <v>0</v>
      </c>
      <c r="G61" s="160">
        <v>0</v>
      </c>
      <c r="H61" s="161">
        <f t="shared" ref="H61:H63" si="4">SUM(B61:F61)</f>
        <v>0</v>
      </c>
    </row>
    <row r="62" spans="1:8" ht="12" hidden="1" customHeight="1">
      <c r="A62" s="132" t="s">
        <v>246</v>
      </c>
      <c r="B62" s="130" t="s">
        <v>121</v>
      </c>
      <c r="C62" s="130" t="s">
        <v>121</v>
      </c>
      <c r="D62" s="130" t="s">
        <v>121</v>
      </c>
      <c r="E62" s="130" t="s">
        <v>121</v>
      </c>
      <c r="F62" s="158">
        <v>0</v>
      </c>
      <c r="G62" s="158">
        <v>0</v>
      </c>
      <c r="H62" s="161">
        <f t="shared" si="4"/>
        <v>0</v>
      </c>
    </row>
    <row r="63" spans="1:8" ht="12" hidden="1" customHeight="1">
      <c r="A63" s="132" t="s">
        <v>238</v>
      </c>
      <c r="B63" s="130" t="s">
        <v>121</v>
      </c>
      <c r="C63" s="130" t="s">
        <v>121</v>
      </c>
      <c r="D63" s="130" t="s">
        <v>121</v>
      </c>
      <c r="E63" s="130" t="s">
        <v>121</v>
      </c>
      <c r="F63" s="129" t="s">
        <v>121</v>
      </c>
      <c r="G63" s="162" t="s">
        <v>121</v>
      </c>
      <c r="H63" s="161">
        <f t="shared" si="4"/>
        <v>0</v>
      </c>
    </row>
    <row r="64" spans="1:8" ht="16.149999999999999" customHeight="1">
      <c r="A64" s="145" t="s">
        <v>247</v>
      </c>
      <c r="B64" s="146">
        <f>SUM(B42:B63)</f>
        <v>3707</v>
      </c>
      <c r="C64" s="146">
        <f>SUM(C42:C63)</f>
        <v>38412</v>
      </c>
      <c r="D64" s="147" t="s">
        <v>240</v>
      </c>
      <c r="E64" s="147">
        <f>SUM(E42:E63)</f>
        <v>50</v>
      </c>
      <c r="F64" s="146">
        <f>SUM(F42:F63)</f>
        <v>52937</v>
      </c>
      <c r="G64" s="146">
        <f>SUM(G42:G63)</f>
        <v>52937</v>
      </c>
      <c r="H64" s="148">
        <f>SUM(H42:H63)</f>
        <v>95106</v>
      </c>
    </row>
    <row r="65" spans="1:1" ht="17.25" customHeight="1"/>
    <row r="66" spans="1:1" ht="30" customHeight="1">
      <c r="A66" s="124"/>
    </row>
    <row r="67" spans="1:1" ht="16.5" customHeight="1">
      <c r="A67" s="124"/>
    </row>
    <row r="68" spans="1:1">
      <c r="A68" s="124"/>
    </row>
    <row r="69" spans="1:1">
      <c r="A69" s="125"/>
    </row>
    <row r="70" spans="1:1">
      <c r="A70" s="124"/>
    </row>
    <row r="71" spans="1:1">
      <c r="A71" s="124"/>
    </row>
    <row r="72" spans="1:1">
      <c r="A72" s="124"/>
    </row>
    <row r="73" spans="1:1">
      <c r="A73" s="124" t="s">
        <v>126</v>
      </c>
    </row>
  </sheetData>
  <mergeCells count="6">
    <mergeCell ref="A1:H1"/>
    <mergeCell ref="A2:A3"/>
    <mergeCell ref="B2:H2"/>
    <mergeCell ref="A31:H31"/>
    <mergeCell ref="A32:A33"/>
    <mergeCell ref="B32:H32"/>
  </mergeCells>
  <pageMargins left="0.70866141732283472" right="0.70866141732283472" top="0.74803149606299213" bottom="0.55118110236220474" header="0.31496062992125984" footer="0.31496062992125984"/>
  <pageSetup paperSize="9" scale="91" fitToHeight="0" orientation="portrait" r:id="rId1"/>
  <headerFooter>
    <oddHeader>&amp;L&amp;"Lato Light,Standardowy"&amp;8&amp;KE73E2ARoczne skonsolidowane sprawozdanie finansowe Grupy Ailleron SA za okres od 1 stycznia 2020 r. do 31 grudnia 2020 r.
(wszystkie kwoty podano w tys.PLN, o ile nie wskazano inaczej)</oddHeader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0E95E-4E4E-4443-89DF-C4419465D289}">
  <sheetPr>
    <pageSetUpPr fitToPage="1"/>
  </sheetPr>
  <dimension ref="A1:D79"/>
  <sheetViews>
    <sheetView showGridLines="0" view="pageBreakPreview" topLeftCell="A14" zoomScale="115" zoomScaleNormal="100" zoomScaleSheetLayoutView="115" workbookViewId="0">
      <selection activeCell="E1" sqref="E1:M1048576"/>
    </sheetView>
  </sheetViews>
  <sheetFormatPr defaultRowHeight="15"/>
  <cols>
    <col min="1" max="1" width="50.28515625" style="4" customWidth="1"/>
    <col min="2" max="2" width="7.7109375" style="54" customWidth="1"/>
    <col min="3" max="3" width="15.5703125" style="4" customWidth="1"/>
    <col min="4" max="4" width="14.42578125" style="4" customWidth="1"/>
    <col min="5" max="16384" width="9.140625" style="4"/>
  </cols>
  <sheetData>
    <row r="1" spans="1:4" s="1" customFormat="1" ht="30.6" customHeight="1">
      <c r="A1" s="237" t="s">
        <v>248</v>
      </c>
      <c r="B1" s="237"/>
      <c r="C1" s="237"/>
      <c r="D1" s="237"/>
    </row>
    <row r="2" spans="1:4" s="2" customFormat="1" ht="25.15" customHeight="1">
      <c r="A2" s="238" t="s">
        <v>1</v>
      </c>
      <c r="B2" s="238"/>
      <c r="C2" s="238"/>
      <c r="D2" s="238"/>
    </row>
    <row r="3" spans="1:4" s="2" customFormat="1" ht="25.15" customHeight="1">
      <c r="A3" s="239" t="s">
        <v>2</v>
      </c>
      <c r="B3" s="239"/>
      <c r="C3" s="239"/>
      <c r="D3" s="239"/>
    </row>
    <row r="4" spans="1:4" ht="36" customHeight="1">
      <c r="A4" s="241" t="s">
        <v>249</v>
      </c>
      <c r="B4" s="241"/>
      <c r="C4" s="241"/>
      <c r="D4" s="241"/>
    </row>
    <row r="5" spans="1:4">
      <c r="A5" s="232" t="s">
        <v>4</v>
      </c>
      <c r="B5" s="234" t="s">
        <v>5</v>
      </c>
      <c r="C5" s="236" t="s">
        <v>6</v>
      </c>
      <c r="D5" s="236"/>
    </row>
    <row r="6" spans="1:4" ht="25.5">
      <c r="A6" s="233"/>
      <c r="B6" s="235"/>
      <c r="C6" s="5" t="s">
        <v>7</v>
      </c>
      <c r="D6" s="5" t="s">
        <v>8</v>
      </c>
    </row>
    <row r="7" spans="1:4">
      <c r="A7" s="6"/>
      <c r="B7" s="7"/>
      <c r="C7" s="8"/>
      <c r="D7" s="8"/>
    </row>
    <row r="8" spans="1:4" ht="15" customHeight="1">
      <c r="A8" s="9" t="s">
        <v>9</v>
      </c>
      <c r="B8" s="10"/>
      <c r="C8" s="12">
        <f>SUM(C9:C16)</f>
        <v>31937</v>
      </c>
      <c r="D8" s="12">
        <f>SUM(D9:D16)</f>
        <v>47095</v>
      </c>
    </row>
    <row r="9" spans="1:4" ht="15" customHeight="1">
      <c r="A9" s="13" t="s">
        <v>10</v>
      </c>
      <c r="B9" s="17">
        <v>15</v>
      </c>
      <c r="C9" s="23">
        <f>25915-882</f>
        <v>25033</v>
      </c>
      <c r="D9" s="16">
        <v>8270</v>
      </c>
    </row>
    <row r="10" spans="1:4" ht="15" hidden="1" customHeight="1">
      <c r="A10" s="13" t="s">
        <v>11</v>
      </c>
      <c r="B10" s="17">
        <v>16</v>
      </c>
      <c r="C10" s="47">
        <v>0</v>
      </c>
      <c r="D10" s="18">
        <v>0</v>
      </c>
    </row>
    <row r="11" spans="1:4" ht="15" customHeight="1">
      <c r="A11" s="13" t="s">
        <v>12</v>
      </c>
      <c r="B11" s="17">
        <v>16</v>
      </c>
      <c r="C11" s="47">
        <f>29378-29378</f>
        <v>0</v>
      </c>
      <c r="D11" s="16">
        <v>29378</v>
      </c>
    </row>
    <row r="12" spans="1:4" ht="15" customHeight="1">
      <c r="A12" s="13" t="s">
        <v>13</v>
      </c>
      <c r="B12" s="17">
        <v>17</v>
      </c>
      <c r="C12" s="23">
        <f>6146-1956</f>
        <v>4190</v>
      </c>
      <c r="D12" s="16">
        <v>3733</v>
      </c>
    </row>
    <row r="13" spans="1:4" ht="15" customHeight="1">
      <c r="A13" s="13" t="s">
        <v>14</v>
      </c>
      <c r="B13" s="17">
        <v>18</v>
      </c>
      <c r="C13" s="23">
        <v>626</v>
      </c>
      <c r="D13" s="16">
        <v>4044</v>
      </c>
    </row>
    <row r="14" spans="1:4" ht="15" customHeight="1">
      <c r="A14" s="13" t="s">
        <v>15</v>
      </c>
      <c r="B14" s="17">
        <v>10</v>
      </c>
      <c r="C14" s="23">
        <f>2331-737</f>
        <v>1594</v>
      </c>
      <c r="D14" s="16">
        <v>1670</v>
      </c>
    </row>
    <row r="15" spans="1:4" ht="15" hidden="1" customHeight="1">
      <c r="A15" s="13" t="s">
        <v>16</v>
      </c>
      <c r="B15" s="21">
        <v>22</v>
      </c>
      <c r="C15" s="18">
        <v>0</v>
      </c>
      <c r="D15" s="18">
        <v>0</v>
      </c>
    </row>
    <row r="16" spans="1:4" ht="15" customHeight="1">
      <c r="A16" s="13" t="s">
        <v>17</v>
      </c>
      <c r="B16" s="21">
        <v>20</v>
      </c>
      <c r="C16" s="23">
        <f>494</f>
        <v>494</v>
      </c>
      <c r="D16" s="18">
        <v>0</v>
      </c>
    </row>
    <row r="17" spans="1:4" ht="15" customHeight="1">
      <c r="A17" s="9" t="s">
        <v>18</v>
      </c>
      <c r="B17" s="10"/>
      <c r="C17" s="12">
        <f>SUM(C18:C24)</f>
        <v>38367</v>
      </c>
      <c r="D17" s="12">
        <f>SUM(D18:D25)</f>
        <v>68100</v>
      </c>
    </row>
    <row r="18" spans="1:4" ht="15" customHeight="1">
      <c r="A18" s="13" t="s">
        <v>19</v>
      </c>
      <c r="B18" s="21">
        <v>21</v>
      </c>
      <c r="C18" s="23">
        <f>5257-2213</f>
        <v>3044</v>
      </c>
      <c r="D18" s="16">
        <v>9606</v>
      </c>
    </row>
    <row r="19" spans="1:4" ht="15" customHeight="1">
      <c r="A19" s="13" t="s">
        <v>20</v>
      </c>
      <c r="B19" s="17">
        <v>22</v>
      </c>
      <c r="C19" s="23">
        <f>37076-23519-203</f>
        <v>13354</v>
      </c>
      <c r="D19" s="23">
        <f>39721-205</f>
        <v>39516</v>
      </c>
    </row>
    <row r="20" spans="1:4" ht="15" customHeight="1">
      <c r="A20" s="24" t="s">
        <v>21</v>
      </c>
      <c r="B20" s="17">
        <v>6.23</v>
      </c>
      <c r="C20" s="23">
        <f>10310-3892</f>
        <v>6418</v>
      </c>
      <c r="D20" s="23">
        <v>13976</v>
      </c>
    </row>
    <row r="21" spans="1:4" ht="15" customHeight="1">
      <c r="A21" s="13" t="s">
        <v>16</v>
      </c>
      <c r="B21" s="21">
        <v>19</v>
      </c>
      <c r="C21" s="23">
        <f>2899</f>
        <v>2899</v>
      </c>
      <c r="D21" s="48">
        <v>2440</v>
      </c>
    </row>
    <row r="22" spans="1:4" ht="15" customHeight="1">
      <c r="A22" s="24" t="s">
        <v>22</v>
      </c>
      <c r="B22" s="21">
        <v>10</v>
      </c>
      <c r="C22" s="23">
        <v>976</v>
      </c>
      <c r="D22" s="163">
        <v>1480</v>
      </c>
    </row>
    <row r="23" spans="1:4" ht="15" hidden="1" customHeight="1">
      <c r="A23" s="13" t="s">
        <v>23</v>
      </c>
      <c r="B23" s="21">
        <v>23</v>
      </c>
      <c r="C23" s="18">
        <v>0</v>
      </c>
      <c r="D23" s="18">
        <v>0</v>
      </c>
    </row>
    <row r="24" spans="1:4" ht="15" customHeight="1">
      <c r="A24" s="13" t="s">
        <v>24</v>
      </c>
      <c r="B24" s="21">
        <v>36</v>
      </c>
      <c r="C24" s="164">
        <f>11676</f>
        <v>11676</v>
      </c>
      <c r="D24" s="165">
        <v>1082</v>
      </c>
    </row>
    <row r="25" spans="1:4" ht="15" customHeight="1">
      <c r="A25" s="166" t="s">
        <v>250</v>
      </c>
      <c r="B25" s="167">
        <v>12</v>
      </c>
      <c r="C25" s="164">
        <v>62577</v>
      </c>
      <c r="D25" s="18">
        <v>0</v>
      </c>
    </row>
    <row r="26" spans="1:4" ht="15" customHeight="1">
      <c r="A26" s="25" t="s">
        <v>26</v>
      </c>
      <c r="B26" s="26"/>
      <c r="C26" s="28">
        <f>C8+C17+C25</f>
        <v>132881</v>
      </c>
      <c r="D26" s="28">
        <f>D8+D17</f>
        <v>115195</v>
      </c>
    </row>
    <row r="27" spans="1:4">
      <c r="A27" s="260"/>
      <c r="B27" s="30"/>
      <c r="C27" s="261"/>
      <c r="D27" s="261"/>
    </row>
    <row r="28" spans="1:4">
      <c r="A28" s="260"/>
      <c r="B28" s="30"/>
      <c r="C28" s="261"/>
      <c r="D28" s="261"/>
    </row>
    <row r="29" spans="1:4">
      <c r="A29" s="32" t="s">
        <v>251</v>
      </c>
      <c r="B29" s="30"/>
      <c r="C29" s="31"/>
      <c r="D29" s="31"/>
    </row>
    <row r="30" spans="1:4">
      <c r="A30" s="32"/>
      <c r="B30" s="30"/>
      <c r="C30" s="31"/>
      <c r="D30" s="31"/>
    </row>
    <row r="31" spans="1:4">
      <c r="A31" s="232" t="s">
        <v>28</v>
      </c>
      <c r="B31" s="234" t="s">
        <v>5</v>
      </c>
      <c r="C31" s="236" t="s">
        <v>6</v>
      </c>
      <c r="D31" s="236"/>
    </row>
    <row r="32" spans="1:4" ht="25.5">
      <c r="A32" s="233"/>
      <c r="B32" s="235"/>
      <c r="C32" s="5" t="str">
        <f>C6</f>
        <v>Stan na 31/12/2020</v>
      </c>
      <c r="D32" s="5" t="str">
        <f>D6</f>
        <v>Stan na 31/12/2019</v>
      </c>
    </row>
    <row r="33" spans="1:4">
      <c r="A33" s="33" t="s">
        <v>29</v>
      </c>
      <c r="B33" s="34"/>
      <c r="C33" s="12">
        <f>SUM(C34:C39)</f>
        <v>64947</v>
      </c>
      <c r="D33" s="12">
        <f>SUM(D34:D39)</f>
        <v>67574</v>
      </c>
    </row>
    <row r="34" spans="1:4">
      <c r="A34" s="36" t="s">
        <v>30</v>
      </c>
      <c r="B34" s="37">
        <v>24</v>
      </c>
      <c r="C34" s="16">
        <v>3707</v>
      </c>
      <c r="D34" s="23">
        <v>3707</v>
      </c>
    </row>
    <row r="35" spans="1:4">
      <c r="A35" s="36" t="s">
        <v>31</v>
      </c>
      <c r="B35" s="37">
        <v>24</v>
      </c>
      <c r="C35" s="16">
        <v>38412</v>
      </c>
      <c r="D35" s="23">
        <v>38412</v>
      </c>
    </row>
    <row r="36" spans="1:4">
      <c r="A36" s="36" t="s">
        <v>32</v>
      </c>
      <c r="B36" s="37">
        <v>25</v>
      </c>
      <c r="C36" s="16">
        <v>22828</v>
      </c>
      <c r="D36" s="23">
        <v>25455</v>
      </c>
    </row>
    <row r="37" spans="1:4" hidden="1">
      <c r="A37" s="36" t="s">
        <v>33</v>
      </c>
      <c r="B37" s="37"/>
      <c r="C37" s="168">
        <v>0</v>
      </c>
      <c r="D37" s="168">
        <v>0</v>
      </c>
    </row>
    <row r="38" spans="1:4" ht="24" hidden="1">
      <c r="A38" s="38" t="s">
        <v>252</v>
      </c>
      <c r="B38" s="37"/>
      <c r="C38" s="168">
        <v>0</v>
      </c>
      <c r="D38" s="168">
        <v>0</v>
      </c>
    </row>
    <row r="39" spans="1:4" ht="26.25" hidden="1" customHeight="1">
      <c r="A39" s="38" t="s">
        <v>36</v>
      </c>
      <c r="B39" s="37"/>
      <c r="C39" s="168">
        <v>0</v>
      </c>
      <c r="D39" s="168">
        <v>0</v>
      </c>
    </row>
    <row r="40" spans="1:4">
      <c r="A40" s="33" t="s">
        <v>37</v>
      </c>
      <c r="B40" s="34"/>
      <c r="C40" s="12">
        <f>C41+C52+C65</f>
        <v>67934</v>
      </c>
      <c r="D40" s="12">
        <f>D41+D52</f>
        <v>47621</v>
      </c>
    </row>
    <row r="41" spans="1:4">
      <c r="A41" s="40" t="s">
        <v>38</v>
      </c>
      <c r="B41" s="41"/>
      <c r="C41" s="43">
        <f>SUM(C43:C51)</f>
        <v>22317</v>
      </c>
      <c r="D41" s="43">
        <f>SUM(D43:D51)</f>
        <v>9241</v>
      </c>
    </row>
    <row r="42" spans="1:4" hidden="1">
      <c r="A42" s="36" t="s">
        <v>253</v>
      </c>
      <c r="B42" s="44"/>
      <c r="C42" s="16"/>
      <c r="D42" s="16"/>
    </row>
    <row r="43" spans="1:4">
      <c r="A43" s="45" t="s">
        <v>40</v>
      </c>
      <c r="B43" s="46" t="s">
        <v>254</v>
      </c>
      <c r="C43" s="23">
        <f>21186-196-122</f>
        <v>20868</v>
      </c>
      <c r="D43" s="23">
        <f>926-39</f>
        <v>887</v>
      </c>
    </row>
    <row r="44" spans="1:4">
      <c r="A44" s="36" t="s">
        <v>42</v>
      </c>
      <c r="B44" s="37">
        <v>26</v>
      </c>
      <c r="C44" s="169">
        <v>0</v>
      </c>
      <c r="D44" s="23">
        <v>5377</v>
      </c>
    </row>
    <row r="45" spans="1:4" hidden="1">
      <c r="A45" s="36" t="s">
        <v>43</v>
      </c>
      <c r="B45" s="37">
        <v>36</v>
      </c>
      <c r="C45" s="169">
        <v>0</v>
      </c>
      <c r="D45" s="169">
        <v>0</v>
      </c>
    </row>
    <row r="46" spans="1:4">
      <c r="A46" s="36" t="s">
        <v>44</v>
      </c>
      <c r="B46" s="37">
        <v>28</v>
      </c>
      <c r="C46" s="23">
        <f>1504-1388-77</f>
        <v>39</v>
      </c>
      <c r="D46" s="23">
        <f>1358-1267</f>
        <v>91</v>
      </c>
    </row>
    <row r="47" spans="1:4">
      <c r="A47" s="36" t="s">
        <v>45</v>
      </c>
      <c r="B47" s="37"/>
      <c r="C47" s="48">
        <v>21</v>
      </c>
      <c r="D47" s="48">
        <v>21</v>
      </c>
    </row>
    <row r="48" spans="1:4" hidden="1">
      <c r="A48" s="36" t="s">
        <v>46</v>
      </c>
      <c r="B48" s="37"/>
      <c r="C48" s="169">
        <v>0</v>
      </c>
      <c r="D48" s="169">
        <v>0</v>
      </c>
    </row>
    <row r="49" spans="1:4">
      <c r="A49" s="36" t="s">
        <v>47</v>
      </c>
      <c r="B49" s="37">
        <v>10</v>
      </c>
      <c r="C49" s="23">
        <f>2376-987</f>
        <v>1389</v>
      </c>
      <c r="D49" s="23">
        <v>2865</v>
      </c>
    </row>
    <row r="50" spans="1:4" hidden="1">
      <c r="A50" s="36" t="s">
        <v>48</v>
      </c>
      <c r="B50" s="37">
        <v>35</v>
      </c>
      <c r="C50" s="169">
        <v>0</v>
      </c>
      <c r="D50" s="169">
        <v>0</v>
      </c>
    </row>
    <row r="51" spans="1:4" hidden="1">
      <c r="A51" s="36" t="s">
        <v>49</v>
      </c>
      <c r="B51" s="37"/>
      <c r="C51" s="169">
        <v>0</v>
      </c>
      <c r="D51" s="169">
        <v>0</v>
      </c>
    </row>
    <row r="52" spans="1:4">
      <c r="A52" s="49" t="s">
        <v>50</v>
      </c>
      <c r="B52" s="50"/>
      <c r="C52" s="170">
        <f>SUM(C53:C64)</f>
        <v>32018</v>
      </c>
      <c r="D52" s="170">
        <f>SUM(D53:D65)</f>
        <v>38380</v>
      </c>
    </row>
    <row r="53" spans="1:4" ht="24">
      <c r="A53" s="38" t="s">
        <v>51</v>
      </c>
      <c r="B53" s="37">
        <v>30</v>
      </c>
      <c r="C53" s="23">
        <f>12612+907-7480</f>
        <v>6039</v>
      </c>
      <c r="D53" s="23">
        <f>10944+2074</f>
        <v>13018</v>
      </c>
    </row>
    <row r="54" spans="1:4">
      <c r="A54" s="45" t="s">
        <v>52</v>
      </c>
      <c r="B54" s="37">
        <v>6.23</v>
      </c>
      <c r="C54" s="171">
        <f>907-907</f>
        <v>0</v>
      </c>
      <c r="D54" s="23">
        <f>2819-2074</f>
        <v>745</v>
      </c>
    </row>
    <row r="55" spans="1:4">
      <c r="A55" s="45" t="s">
        <v>53</v>
      </c>
      <c r="B55" s="37">
        <v>26</v>
      </c>
      <c r="C55" s="23">
        <v>15186</v>
      </c>
      <c r="D55" s="23">
        <v>8263</v>
      </c>
    </row>
    <row r="56" spans="1:4" hidden="1">
      <c r="A56" s="45" t="s">
        <v>255</v>
      </c>
      <c r="B56" s="37"/>
      <c r="C56" s="23"/>
      <c r="D56" s="23"/>
    </row>
    <row r="57" spans="1:4">
      <c r="A57" s="45" t="s">
        <v>55</v>
      </c>
      <c r="B57" s="37">
        <v>27</v>
      </c>
      <c r="C57" s="23">
        <f>2719-139-81</f>
        <v>2499</v>
      </c>
      <c r="D57" s="23">
        <f>5523-166</f>
        <v>5357</v>
      </c>
    </row>
    <row r="58" spans="1:4" hidden="1">
      <c r="A58" s="45" t="s">
        <v>56</v>
      </c>
      <c r="B58" s="37">
        <v>33</v>
      </c>
      <c r="C58" s="171">
        <v>0</v>
      </c>
      <c r="D58" s="171">
        <v>0</v>
      </c>
    </row>
    <row r="59" spans="1:4">
      <c r="A59" s="45" t="s">
        <v>57</v>
      </c>
      <c r="B59" s="37">
        <v>10</v>
      </c>
      <c r="C59" s="171">
        <v>1695</v>
      </c>
      <c r="D59" s="171">
        <v>344</v>
      </c>
    </row>
    <row r="60" spans="1:4" ht="16.5" customHeight="1">
      <c r="A60" s="45" t="s">
        <v>58</v>
      </c>
      <c r="B60" s="37">
        <v>10</v>
      </c>
      <c r="C60" s="23">
        <v>3347</v>
      </c>
      <c r="D60" s="23">
        <v>4412</v>
      </c>
    </row>
    <row r="61" spans="1:4" ht="16.5" customHeight="1">
      <c r="A61" s="36" t="s">
        <v>59</v>
      </c>
      <c r="B61" s="37">
        <v>35.39</v>
      </c>
      <c r="C61" s="172">
        <f>1388-917</f>
        <v>471</v>
      </c>
      <c r="D61" s="172">
        <v>1267</v>
      </c>
    </row>
    <row r="62" spans="1:4" ht="16.5" hidden="1" customHeight="1">
      <c r="A62" s="36" t="s">
        <v>60</v>
      </c>
      <c r="B62" s="37">
        <v>35</v>
      </c>
      <c r="C62" s="173">
        <v>0</v>
      </c>
      <c r="D62" s="169">
        <v>0</v>
      </c>
    </row>
    <row r="63" spans="1:4" ht="16.5" customHeight="1">
      <c r="A63" s="36" t="s">
        <v>49</v>
      </c>
      <c r="B63" s="37">
        <v>32</v>
      </c>
      <c r="C63" s="174">
        <v>825</v>
      </c>
      <c r="D63" s="174">
        <v>1414</v>
      </c>
    </row>
    <row r="64" spans="1:4">
      <c r="A64" s="38" t="s">
        <v>61</v>
      </c>
      <c r="B64" s="37">
        <v>29</v>
      </c>
      <c r="C64" s="23">
        <f>5760-3804</f>
        <v>1956</v>
      </c>
      <c r="D64" s="43">
        <v>3560</v>
      </c>
    </row>
    <row r="65" spans="1:4" ht="24">
      <c r="A65" s="175" t="s">
        <v>256</v>
      </c>
      <c r="B65" s="34">
        <v>12</v>
      </c>
      <c r="C65" s="170">
        <v>13599</v>
      </c>
      <c r="D65" s="168">
        <v>0</v>
      </c>
    </row>
    <row r="66" spans="1:4">
      <c r="A66" s="25" t="s">
        <v>63</v>
      </c>
      <c r="B66" s="26"/>
      <c r="C66" s="176">
        <f>C33+C40</f>
        <v>132881</v>
      </c>
      <c r="D66" s="28">
        <f>D33+D40</f>
        <v>115195</v>
      </c>
    </row>
    <row r="77" spans="1:4">
      <c r="A77" s="103" t="s">
        <v>126</v>
      </c>
    </row>
    <row r="79" spans="1:4">
      <c r="B79" s="177">
        <f>C66-C26</f>
        <v>0</v>
      </c>
      <c r="C79" s="177">
        <f>D66-D26</f>
        <v>0</v>
      </c>
    </row>
  </sheetData>
  <mergeCells count="13">
    <mergeCell ref="A1:D1"/>
    <mergeCell ref="A2:D2"/>
    <mergeCell ref="A3:D3"/>
    <mergeCell ref="A4:D4"/>
    <mergeCell ref="A5:A6"/>
    <mergeCell ref="B5:B6"/>
    <mergeCell ref="C5:D5"/>
    <mergeCell ref="A27:A28"/>
    <mergeCell ref="C27:C28"/>
    <mergeCell ref="D27:D28"/>
    <mergeCell ref="A31:A32"/>
    <mergeCell ref="B31:B32"/>
    <mergeCell ref="C31:D31"/>
  </mergeCells>
  <pageMargins left="0.70866141732283472" right="0.70866141732283472" top="0.74803149606299213" bottom="0.74803149606299213" header="0.31496062992125984" footer="0.31496062992125984"/>
  <pageSetup paperSize="9" scale="99" fitToHeight="0" orientation="portrait" r:id="rId1"/>
  <headerFooter>
    <oddHeader>&amp;L&amp;"Lato Light,Standardowy"&amp;8&amp;KE73E2ARoczne jednostkowe sprawozdanie finansowe Ailleron SA za okres od 1 stycznia 2020 r. do 31 grudnia 2020 r                                          (wszystkie kwoty podano w tys.PLN, o ile nie wskazano inaczej)</oddHeader>
    <oddFooter>&amp;C&amp;P</oddFooter>
  </headerFooter>
  <rowBreaks count="1" manualBreakCount="1">
    <brk id="27" max="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679E4-F7AE-4212-8D66-EE03F0CD8038}">
  <sheetPr>
    <pageSetUpPr fitToPage="1"/>
  </sheetPr>
  <dimension ref="A1:D85"/>
  <sheetViews>
    <sheetView showGridLines="0" view="pageBreakPreview" zoomScale="130" zoomScaleNormal="100" zoomScaleSheetLayoutView="130" workbookViewId="0">
      <selection activeCell="E28" sqref="E1:O1048576"/>
    </sheetView>
  </sheetViews>
  <sheetFormatPr defaultColWidth="8.7109375" defaultRowHeight="15"/>
  <cols>
    <col min="1" max="1" width="57" style="4" customWidth="1"/>
    <col min="2" max="2" width="8.5703125" style="4" customWidth="1"/>
    <col min="3" max="4" width="13.5703125" style="4" customWidth="1"/>
    <col min="5" max="16384" width="8.7109375" style="4"/>
  </cols>
  <sheetData>
    <row r="1" spans="1:4" ht="49.5" customHeight="1">
      <c r="A1" s="262" t="s">
        <v>257</v>
      </c>
      <c r="B1" s="262"/>
      <c r="C1" s="262"/>
      <c r="D1" s="262"/>
    </row>
    <row r="2" spans="1:4" s="178" customFormat="1" ht="20.25" customHeight="1">
      <c r="A2" s="263"/>
      <c r="B2" s="263"/>
      <c r="C2" s="263"/>
      <c r="D2" s="263"/>
    </row>
    <row r="3" spans="1:4" ht="12.75" customHeight="1">
      <c r="A3" s="247" t="s">
        <v>258</v>
      </c>
      <c r="B3" s="234" t="s">
        <v>5</v>
      </c>
      <c r="C3" s="248" t="s">
        <v>67</v>
      </c>
      <c r="D3" s="248"/>
    </row>
    <row r="4" spans="1:4" ht="39.75" customHeight="1">
      <c r="A4" s="247"/>
      <c r="B4" s="235"/>
      <c r="C4" s="57" t="s">
        <v>259</v>
      </c>
      <c r="D4" s="57" t="s">
        <v>260</v>
      </c>
    </row>
    <row r="5" spans="1:4">
      <c r="A5" s="58" t="s">
        <v>70</v>
      </c>
      <c r="B5" s="58"/>
      <c r="C5" s="60"/>
      <c r="D5" s="60"/>
    </row>
    <row r="6" spans="1:4">
      <c r="A6" s="61" t="s">
        <v>71</v>
      </c>
      <c r="B6" s="62" t="s">
        <v>72</v>
      </c>
      <c r="C6" s="179">
        <f>SUM(C7:C9)</f>
        <v>53435</v>
      </c>
      <c r="D6" s="179">
        <f>SUM(D7:D9)</f>
        <v>47019</v>
      </c>
    </row>
    <row r="7" spans="1:4" hidden="1">
      <c r="A7" s="65" t="s">
        <v>73</v>
      </c>
      <c r="B7" s="65"/>
      <c r="C7" s="180">
        <v>0</v>
      </c>
      <c r="D7" s="180">
        <v>0</v>
      </c>
    </row>
    <row r="8" spans="1:4">
      <c r="A8" s="65" t="s">
        <v>74</v>
      </c>
      <c r="B8" s="65"/>
      <c r="C8" s="67">
        <f>108246-56600</f>
        <v>51646</v>
      </c>
      <c r="D8" s="67">
        <f>107694-64437</f>
        <v>43257</v>
      </c>
    </row>
    <row r="9" spans="1:4">
      <c r="A9" s="65" t="s">
        <v>75</v>
      </c>
      <c r="B9" s="65"/>
      <c r="C9" s="67">
        <f>7617-5828</f>
        <v>1789</v>
      </c>
      <c r="D9" s="67">
        <f>9745-5983</f>
        <v>3762</v>
      </c>
    </row>
    <row r="10" spans="1:4">
      <c r="A10" s="69" t="s">
        <v>76</v>
      </c>
      <c r="B10" s="69"/>
      <c r="C10" s="64">
        <f>SUM(C11:C13)</f>
        <v>42381</v>
      </c>
      <c r="D10" s="64">
        <f>SUM(D11:D13)</f>
        <v>38717</v>
      </c>
    </row>
    <row r="11" spans="1:4" hidden="1">
      <c r="A11" s="65" t="s">
        <v>77</v>
      </c>
      <c r="B11" s="65"/>
      <c r="C11" s="180">
        <v>0</v>
      </c>
      <c r="D11" s="180">
        <v>0</v>
      </c>
    </row>
    <row r="12" spans="1:4">
      <c r="A12" s="65" t="s">
        <v>78</v>
      </c>
      <c r="B12" s="65"/>
      <c r="C12" s="116">
        <f>80221-39297</f>
        <v>40924</v>
      </c>
      <c r="D12" s="116">
        <f>87011-51713</f>
        <v>35298</v>
      </c>
    </row>
    <row r="13" spans="1:4">
      <c r="A13" s="65" t="s">
        <v>79</v>
      </c>
      <c r="B13" s="65"/>
      <c r="C13" s="116">
        <f>6811-5354</f>
        <v>1457</v>
      </c>
      <c r="D13" s="116">
        <f>7237-3818</f>
        <v>3419</v>
      </c>
    </row>
    <row r="14" spans="1:4">
      <c r="A14" s="61" t="s">
        <v>80</v>
      </c>
      <c r="B14" s="61"/>
      <c r="C14" s="64">
        <f>C6-C10</f>
        <v>11054</v>
      </c>
      <c r="D14" s="64">
        <f>D6-D10</f>
        <v>8302</v>
      </c>
    </row>
    <row r="15" spans="1:4">
      <c r="A15" s="65" t="s">
        <v>81</v>
      </c>
      <c r="B15" s="65"/>
      <c r="C15" s="116">
        <f>14043-2825</f>
        <v>11218</v>
      </c>
      <c r="D15" s="116">
        <f>16676-4072</f>
        <v>12604</v>
      </c>
    </row>
    <row r="16" spans="1:4">
      <c r="A16" s="65" t="s">
        <v>82</v>
      </c>
      <c r="B16" s="65"/>
      <c r="C16" s="116">
        <f>13011-12016</f>
        <v>995</v>
      </c>
      <c r="D16" s="116">
        <f>11080-5476</f>
        <v>5604</v>
      </c>
    </row>
    <row r="17" spans="1:4">
      <c r="A17" s="65" t="s">
        <v>83</v>
      </c>
      <c r="B17" s="73">
        <v>9</v>
      </c>
      <c r="C17" s="74">
        <v>168</v>
      </c>
      <c r="D17" s="74">
        <v>162</v>
      </c>
    </row>
    <row r="18" spans="1:4">
      <c r="A18" s="65" t="s">
        <v>84</v>
      </c>
      <c r="B18" s="73">
        <v>9</v>
      </c>
      <c r="C18" s="74">
        <v>170</v>
      </c>
      <c r="D18" s="74">
        <v>110</v>
      </c>
    </row>
    <row r="19" spans="1:4">
      <c r="A19" s="61" t="s">
        <v>85</v>
      </c>
      <c r="B19" s="62"/>
      <c r="C19" s="64">
        <f>C14-C15-C16+C17-C18</f>
        <v>-1161</v>
      </c>
      <c r="D19" s="64">
        <f>D14-D15-D16+D17-D18</f>
        <v>-9854</v>
      </c>
    </row>
    <row r="20" spans="1:4">
      <c r="A20" s="65" t="s">
        <v>86</v>
      </c>
      <c r="B20" s="73">
        <v>7</v>
      </c>
      <c r="C20" s="74">
        <v>224</v>
      </c>
      <c r="D20" s="74">
        <v>48</v>
      </c>
    </row>
    <row r="21" spans="1:4">
      <c r="A21" s="65" t="s">
        <v>87</v>
      </c>
      <c r="B21" s="73">
        <v>8</v>
      </c>
      <c r="C21" s="67">
        <v>3454</v>
      </c>
      <c r="D21" s="67">
        <v>2214</v>
      </c>
    </row>
    <row r="22" spans="1:4" hidden="1">
      <c r="A22" s="65" t="s">
        <v>88</v>
      </c>
      <c r="B22" s="73"/>
      <c r="C22" s="180">
        <v>0</v>
      </c>
      <c r="D22" s="180">
        <v>0</v>
      </c>
    </row>
    <row r="23" spans="1:4" hidden="1">
      <c r="A23" s="65" t="s">
        <v>89</v>
      </c>
      <c r="B23" s="73"/>
      <c r="C23" s="180">
        <v>0</v>
      </c>
      <c r="D23" s="180">
        <v>0</v>
      </c>
    </row>
    <row r="24" spans="1:4">
      <c r="A24" s="69" t="s">
        <v>90</v>
      </c>
      <c r="B24" s="76"/>
      <c r="C24" s="179">
        <f>C19+C20-C21</f>
        <v>-4391</v>
      </c>
      <c r="D24" s="179">
        <f>D19+D20-D21</f>
        <v>-12020</v>
      </c>
    </row>
    <row r="25" spans="1:4">
      <c r="A25" s="65"/>
      <c r="B25" s="73"/>
      <c r="C25" s="74"/>
      <c r="D25" s="74"/>
    </row>
    <row r="26" spans="1:4">
      <c r="A26" s="69" t="s">
        <v>91</v>
      </c>
      <c r="B26" s="76">
        <v>10</v>
      </c>
      <c r="C26" s="181">
        <f>SUM(C27:C28)</f>
        <v>627</v>
      </c>
      <c r="D26" s="77">
        <f>SUM(D27:D28)</f>
        <v>-960</v>
      </c>
    </row>
    <row r="27" spans="1:4">
      <c r="A27" s="65" t="s">
        <v>92</v>
      </c>
      <c r="B27" s="65"/>
      <c r="C27" s="74">
        <f>2321-545</f>
        <v>1776</v>
      </c>
      <c r="D27" s="74">
        <v>0</v>
      </c>
    </row>
    <row r="28" spans="1:4">
      <c r="A28" s="65" t="s">
        <v>93</v>
      </c>
      <c r="B28" s="65"/>
      <c r="C28" s="74">
        <v>-1149</v>
      </c>
      <c r="D28" s="182">
        <v>-960</v>
      </c>
    </row>
    <row r="29" spans="1:4">
      <c r="A29" s="69" t="s">
        <v>94</v>
      </c>
      <c r="B29" s="78">
        <v>13</v>
      </c>
      <c r="C29" s="179">
        <f>C24-C26</f>
        <v>-5018</v>
      </c>
      <c r="D29" s="64">
        <f>D24-D26</f>
        <v>-11060</v>
      </c>
    </row>
    <row r="30" spans="1:4">
      <c r="A30" s="79" t="s">
        <v>95</v>
      </c>
      <c r="B30" s="78">
        <v>11</v>
      </c>
      <c r="C30" s="77"/>
      <c r="D30" s="179"/>
    </row>
    <row r="31" spans="1:4">
      <c r="A31" s="183" t="s">
        <v>261</v>
      </c>
      <c r="B31" s="184"/>
      <c r="C31" s="116">
        <v>62428</v>
      </c>
      <c r="D31" s="179">
        <v>70420</v>
      </c>
    </row>
    <row r="32" spans="1:4">
      <c r="A32" s="183" t="s">
        <v>262</v>
      </c>
      <c r="B32" s="184"/>
      <c r="C32" s="179">
        <v>59492</v>
      </c>
      <c r="D32" s="179">
        <v>65079</v>
      </c>
    </row>
    <row r="33" spans="1:4">
      <c r="A33" s="183" t="s">
        <v>263</v>
      </c>
      <c r="B33" s="184"/>
      <c r="C33" s="116">
        <f>C31-C32</f>
        <v>2936</v>
      </c>
      <c r="D33" s="179">
        <f>D31-D32</f>
        <v>5341</v>
      </c>
    </row>
    <row r="34" spans="1:4">
      <c r="A34" s="183" t="s">
        <v>91</v>
      </c>
      <c r="B34" s="184"/>
      <c r="C34" s="179">
        <v>545</v>
      </c>
      <c r="D34" s="179">
        <v>445</v>
      </c>
    </row>
    <row r="35" spans="1:4">
      <c r="A35" s="185" t="s">
        <v>96</v>
      </c>
      <c r="B35" s="184">
        <v>11</v>
      </c>
      <c r="C35" s="116">
        <f>'[8]5-6'!H42/1000-911+936-570</f>
        <v>2391</v>
      </c>
      <c r="D35" s="186">
        <f>D33-D34</f>
        <v>4896</v>
      </c>
    </row>
    <row r="36" spans="1:4">
      <c r="A36" s="25" t="s">
        <v>264</v>
      </c>
      <c r="B36" s="25"/>
      <c r="C36" s="187">
        <f>C29+C35</f>
        <v>-2627</v>
      </c>
      <c r="D36" s="187">
        <f>D29+D35</f>
        <v>-6164</v>
      </c>
    </row>
    <row r="37" spans="1:4">
      <c r="A37" s="188"/>
      <c r="B37" s="188"/>
      <c r="C37" s="189"/>
      <c r="D37" s="190"/>
    </row>
    <row r="38" spans="1:4">
      <c r="A38" s="82"/>
      <c r="B38" s="82"/>
      <c r="C38" s="74"/>
      <c r="D38" s="74"/>
    </row>
    <row r="39" spans="1:4" ht="38.25" customHeight="1">
      <c r="A39" s="262" t="s">
        <v>265</v>
      </c>
      <c r="B39" s="262"/>
      <c r="C39" s="262"/>
      <c r="D39" s="262"/>
    </row>
    <row r="40" spans="1:4" ht="18.75" customHeight="1">
      <c r="A40" s="191"/>
      <c r="B40" s="191"/>
      <c r="C40" s="191"/>
      <c r="D40" s="191"/>
    </row>
    <row r="41" spans="1:4">
      <c r="A41" s="247" t="s">
        <v>258</v>
      </c>
      <c r="B41" s="249" t="s">
        <v>5</v>
      </c>
      <c r="C41" s="248" t="s">
        <v>67</v>
      </c>
      <c r="D41" s="248"/>
    </row>
    <row r="42" spans="1:4" ht="36">
      <c r="A42" s="247"/>
      <c r="B42" s="250"/>
      <c r="C42" s="57" t="str">
        <f>C4</f>
        <v>Okres zakończony 31/12/2020</v>
      </c>
      <c r="D42" s="57" t="str">
        <f>D4</f>
        <v>Okres zakończony 31/12/2019</v>
      </c>
    </row>
    <row r="43" spans="1:4">
      <c r="A43" s="192" t="s">
        <v>266</v>
      </c>
      <c r="B43" s="84"/>
      <c r="C43" s="86">
        <f>C36</f>
        <v>-2627</v>
      </c>
      <c r="D43" s="86">
        <f>D36</f>
        <v>-6164</v>
      </c>
    </row>
    <row r="44" spans="1:4">
      <c r="A44" s="65" t="s">
        <v>101</v>
      </c>
      <c r="B44" s="65"/>
      <c r="C44" s="193">
        <f>C36</f>
        <v>-2627</v>
      </c>
      <c r="D44" s="193">
        <f>D36</f>
        <v>-6164</v>
      </c>
    </row>
    <row r="45" spans="1:4" hidden="1">
      <c r="A45" s="84" t="s">
        <v>102</v>
      </c>
      <c r="B45" s="84"/>
      <c r="C45" s="194">
        <v>0</v>
      </c>
      <c r="D45" s="194">
        <v>0</v>
      </c>
    </row>
    <row r="46" spans="1:4">
      <c r="A46" s="65" t="s">
        <v>103</v>
      </c>
      <c r="B46" s="73">
        <v>14</v>
      </c>
      <c r="C46" s="245"/>
      <c r="D46" s="245"/>
    </row>
    <row r="47" spans="1:4">
      <c r="A47" s="65" t="s">
        <v>104</v>
      </c>
      <c r="B47" s="65"/>
      <c r="C47" s="245"/>
      <c r="D47" s="245"/>
    </row>
    <row r="48" spans="1:4">
      <c r="A48" s="65" t="s">
        <v>105</v>
      </c>
      <c r="B48" s="65"/>
      <c r="C48" s="74"/>
      <c r="D48" s="74"/>
    </row>
    <row r="49" spans="1:4">
      <c r="A49" s="65" t="s">
        <v>106</v>
      </c>
      <c r="B49" s="65"/>
      <c r="C49" s="195">
        <f>C29/12355504*1000</f>
        <v>-0.40613478818832482</v>
      </c>
      <c r="D49" s="195">
        <f>D29/12355504*1000</f>
        <v>-0.89514762004042892</v>
      </c>
    </row>
    <row r="50" spans="1:4">
      <c r="A50" s="65" t="s">
        <v>107</v>
      </c>
      <c r="B50" s="65"/>
      <c r="C50" s="196">
        <f>C49</f>
        <v>-0.40613478818832482</v>
      </c>
      <c r="D50" s="196">
        <f>D49</f>
        <v>-0.89514762004042892</v>
      </c>
    </row>
    <row r="51" spans="1:4">
      <c r="A51" s="65" t="s">
        <v>108</v>
      </c>
      <c r="B51" s="65"/>
      <c r="C51" s="197"/>
      <c r="D51" s="197"/>
    </row>
    <row r="52" spans="1:4">
      <c r="A52" s="65" t="s">
        <v>106</v>
      </c>
      <c r="B52" s="65"/>
      <c r="C52" s="196">
        <f>C43/12355504*1000</f>
        <v>-0.21261779365698072</v>
      </c>
      <c r="D52" s="196">
        <f>D43/12355504*1000</f>
        <v>-0.49888697377298402</v>
      </c>
    </row>
    <row r="53" spans="1:4" ht="17.25" customHeight="1">
      <c r="A53" s="84" t="s">
        <v>107</v>
      </c>
      <c r="B53" s="84"/>
      <c r="C53" s="198">
        <f>C52</f>
        <v>-0.21261779365698072</v>
      </c>
      <c r="D53" s="198">
        <f>D52</f>
        <v>-0.49888697377298402</v>
      </c>
    </row>
    <row r="54" spans="1:4">
      <c r="A54" s="199"/>
      <c r="B54" s="199"/>
      <c r="C54" s="244"/>
      <c r="D54" s="244"/>
    </row>
    <row r="55" spans="1:4">
      <c r="A55" s="93" t="s">
        <v>109</v>
      </c>
      <c r="B55" s="93"/>
      <c r="C55" s="245"/>
      <c r="D55" s="245"/>
    </row>
    <row r="56" spans="1:4" ht="22.5" hidden="1">
      <c r="A56" s="94" t="s">
        <v>110</v>
      </c>
      <c r="B56" s="94"/>
      <c r="C56" s="74"/>
      <c r="D56" s="74"/>
    </row>
    <row r="57" spans="1:4" hidden="1">
      <c r="A57" s="65" t="s">
        <v>111</v>
      </c>
      <c r="B57" s="65"/>
      <c r="C57" s="180">
        <v>0</v>
      </c>
      <c r="D57" s="180">
        <v>0</v>
      </c>
    </row>
    <row r="58" spans="1:4" hidden="1">
      <c r="A58" s="65" t="s">
        <v>113</v>
      </c>
      <c r="B58" s="65"/>
      <c r="C58" s="180">
        <v>0</v>
      </c>
      <c r="D58" s="180">
        <v>0</v>
      </c>
    </row>
    <row r="59" spans="1:4" hidden="1">
      <c r="A59" s="65" t="s">
        <v>114</v>
      </c>
      <c r="B59" s="65"/>
      <c r="C59" s="180">
        <v>0</v>
      </c>
      <c r="D59" s="180">
        <v>0</v>
      </c>
    </row>
    <row r="60" spans="1:4" hidden="1">
      <c r="A60" s="65" t="s">
        <v>115</v>
      </c>
      <c r="B60" s="65"/>
      <c r="C60" s="194">
        <v>0</v>
      </c>
      <c r="D60" s="194">
        <v>0</v>
      </c>
    </row>
    <row r="61" spans="1:4" hidden="1">
      <c r="A61" s="95"/>
      <c r="B61" s="95"/>
      <c r="C61" s="180">
        <v>0</v>
      </c>
      <c r="D61" s="180">
        <v>0</v>
      </c>
    </row>
    <row r="62" spans="1:4" ht="22.5" hidden="1">
      <c r="A62" s="94" t="s">
        <v>116</v>
      </c>
      <c r="B62" s="94"/>
      <c r="C62" s="74"/>
      <c r="D62" s="74"/>
    </row>
    <row r="63" spans="1:4" hidden="1">
      <c r="A63" s="65" t="s">
        <v>117</v>
      </c>
      <c r="B63" s="65"/>
      <c r="C63" s="180">
        <v>0</v>
      </c>
      <c r="D63" s="180">
        <v>0</v>
      </c>
    </row>
    <row r="64" spans="1:4" hidden="1">
      <c r="A64" s="65" t="s">
        <v>119</v>
      </c>
      <c r="B64" s="65"/>
      <c r="C64" s="180">
        <v>0</v>
      </c>
      <c r="D64" s="180">
        <v>0</v>
      </c>
    </row>
    <row r="65" spans="1:4" ht="22.5" hidden="1">
      <c r="A65" s="94" t="s">
        <v>120</v>
      </c>
      <c r="B65" s="65"/>
      <c r="C65" s="180">
        <v>0</v>
      </c>
      <c r="D65" s="180">
        <v>0</v>
      </c>
    </row>
    <row r="66" spans="1:4" hidden="1">
      <c r="A66" s="84" t="s">
        <v>115</v>
      </c>
      <c r="B66" s="84"/>
      <c r="C66" s="92">
        <v>0</v>
      </c>
      <c r="D66" s="92">
        <v>0</v>
      </c>
    </row>
    <row r="67" spans="1:4" hidden="1">
      <c r="A67" s="65"/>
      <c r="B67" s="65"/>
      <c r="C67" s="180">
        <v>0</v>
      </c>
      <c r="D67" s="180">
        <v>0</v>
      </c>
    </row>
    <row r="68" spans="1:4" hidden="1">
      <c r="A68" s="65"/>
      <c r="B68" s="65"/>
      <c r="C68" s="92"/>
      <c r="D68" s="92"/>
    </row>
    <row r="69" spans="1:4">
      <c r="A69" s="69" t="s">
        <v>122</v>
      </c>
      <c r="B69" s="69"/>
      <c r="C69" s="200">
        <v>0</v>
      </c>
      <c r="D69" s="200">
        <v>0</v>
      </c>
    </row>
    <row r="70" spans="1:4">
      <c r="A70" s="25" t="s">
        <v>123</v>
      </c>
      <c r="B70" s="25"/>
      <c r="C70" s="123">
        <f>C44</f>
        <v>-2627</v>
      </c>
      <c r="D70" s="123">
        <f>D44</f>
        <v>-6164</v>
      </c>
    </row>
    <row r="79" spans="1:4">
      <c r="A79" s="103"/>
      <c r="B79" s="103"/>
    </row>
    <row r="83" spans="1:2">
      <c r="A83" s="55" t="s">
        <v>267</v>
      </c>
      <c r="B83" s="103"/>
    </row>
    <row r="85" spans="1:2">
      <c r="A85" s="103"/>
      <c r="B85" s="103"/>
    </row>
  </sheetData>
  <mergeCells count="13">
    <mergeCell ref="A1:D1"/>
    <mergeCell ref="A2:D2"/>
    <mergeCell ref="A3:A4"/>
    <mergeCell ref="B3:B4"/>
    <mergeCell ref="C3:D3"/>
    <mergeCell ref="C54:C55"/>
    <mergeCell ref="D54:D55"/>
    <mergeCell ref="A39:D39"/>
    <mergeCell ref="A41:A42"/>
    <mergeCell ref="B41:B42"/>
    <mergeCell ref="C41:D41"/>
    <mergeCell ref="C46:C47"/>
    <mergeCell ref="D46:D47"/>
  </mergeCells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headerFooter>
    <oddHeader>&amp;L&amp;"Lato Light,Standardowy"&amp;8&amp;KE73E2ARoczne jednostkowe sprawozdanie finansowe Ailleron SA za okres od 1 stycznia 2020 r. do 31 grudnia 2020 r                                          (wszystkie kwoty podano w tys.PLN, o ile nie wskazano inaczej)</oddHeader>
    <oddFooter>&amp;C&amp;P</oddFooter>
  </headerFooter>
  <rowBreaks count="1" manualBreakCount="1">
    <brk id="38" max="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5CB2A-FFDA-4DF3-9130-12E813421F17}">
  <sheetPr>
    <pageSetUpPr fitToPage="1"/>
  </sheetPr>
  <dimension ref="A1:C87"/>
  <sheetViews>
    <sheetView showGridLines="0" view="pageBreakPreview" topLeftCell="A74" zoomScale="130" zoomScaleNormal="100" zoomScaleSheetLayoutView="130" workbookViewId="0">
      <selection activeCell="D71" sqref="D1:F1048576"/>
    </sheetView>
  </sheetViews>
  <sheetFormatPr defaultRowHeight="15"/>
  <cols>
    <col min="1" max="1" width="50.7109375" style="124" customWidth="1"/>
    <col min="2" max="2" width="14.42578125" style="4" customWidth="1"/>
    <col min="3" max="3" width="13.7109375" style="4" customWidth="1"/>
    <col min="4" max="16384" width="9.140625" style="4"/>
  </cols>
  <sheetData>
    <row r="1" spans="1:3" ht="51.75" customHeight="1">
      <c r="A1" s="264" t="s">
        <v>268</v>
      </c>
      <c r="B1" s="264"/>
      <c r="C1" s="264"/>
    </row>
    <row r="2" spans="1:3">
      <c r="A2" s="252"/>
      <c r="B2" s="253" t="s">
        <v>67</v>
      </c>
      <c r="C2" s="253"/>
    </row>
    <row r="3" spans="1:3" ht="36">
      <c r="A3" s="252"/>
      <c r="B3" s="57" t="s">
        <v>259</v>
      </c>
      <c r="C3" s="57" t="s">
        <v>260</v>
      </c>
    </row>
    <row r="4" spans="1:3">
      <c r="A4" s="104" t="s">
        <v>129</v>
      </c>
      <c r="B4" s="105"/>
      <c r="C4" s="105"/>
    </row>
    <row r="5" spans="1:3">
      <c r="A5" s="68" t="s">
        <v>130</v>
      </c>
      <c r="B5" s="201">
        <f>RZIS_j!C70</f>
        <v>-2627</v>
      </c>
      <c r="C5" s="107">
        <f>RZIS_j!D70</f>
        <v>-6164</v>
      </c>
    </row>
    <row r="6" spans="1:3">
      <c r="A6" s="108" t="s">
        <v>131</v>
      </c>
      <c r="B6" s="67">
        <v>1172</v>
      </c>
      <c r="C6" s="74">
        <v>-515</v>
      </c>
    </row>
    <row r="7" spans="1:3" hidden="1">
      <c r="A7" s="108" t="s">
        <v>132</v>
      </c>
      <c r="B7" s="180">
        <v>0</v>
      </c>
      <c r="C7" s="180">
        <v>0</v>
      </c>
    </row>
    <row r="8" spans="1:3">
      <c r="A8" s="108" t="s">
        <v>133</v>
      </c>
      <c r="B8" s="74">
        <v>481</v>
      </c>
      <c r="C8" s="74">
        <v>296</v>
      </c>
    </row>
    <row r="9" spans="1:3" hidden="1">
      <c r="A9" s="108" t="s">
        <v>134</v>
      </c>
      <c r="B9" s="180">
        <v>0</v>
      </c>
      <c r="C9" s="180">
        <v>0</v>
      </c>
    </row>
    <row r="10" spans="1:3">
      <c r="A10" s="108" t="s">
        <v>135</v>
      </c>
      <c r="B10" s="74">
        <v>-138</v>
      </c>
      <c r="C10" s="74">
        <v>-114</v>
      </c>
    </row>
    <row r="11" spans="1:3" hidden="1">
      <c r="A11" s="108" t="s">
        <v>136</v>
      </c>
      <c r="B11" s="180">
        <v>0</v>
      </c>
      <c r="C11" s="111">
        <v>0</v>
      </c>
    </row>
    <row r="12" spans="1:3" ht="22.5">
      <c r="A12" s="112" t="s">
        <v>140</v>
      </c>
      <c r="B12" s="67">
        <v>180</v>
      </c>
      <c r="C12" s="74">
        <v>97</v>
      </c>
    </row>
    <row r="13" spans="1:3">
      <c r="A13" s="108" t="s">
        <v>138</v>
      </c>
      <c r="B13" s="67">
        <v>41</v>
      </c>
      <c r="C13" s="180">
        <v>0</v>
      </c>
    </row>
    <row r="14" spans="1:3">
      <c r="A14" s="108" t="s">
        <v>269</v>
      </c>
      <c r="B14" s="67">
        <v>2748</v>
      </c>
      <c r="C14" s="180">
        <v>0</v>
      </c>
    </row>
    <row r="15" spans="1:3" ht="22.5" customHeight="1">
      <c r="A15" s="108" t="s">
        <v>137</v>
      </c>
      <c r="B15" s="180">
        <v>0</v>
      </c>
      <c r="C15" s="67">
        <v>1444</v>
      </c>
    </row>
    <row r="16" spans="1:3" hidden="1">
      <c r="A16" s="108" t="s">
        <v>141</v>
      </c>
      <c r="B16" s="180">
        <v>0</v>
      </c>
      <c r="C16" s="180">
        <v>0</v>
      </c>
    </row>
    <row r="17" spans="1:3" hidden="1">
      <c r="A17" s="108" t="s">
        <v>142</v>
      </c>
      <c r="B17" s="111">
        <v>0</v>
      </c>
      <c r="C17" s="202">
        <v>0</v>
      </c>
    </row>
    <row r="18" spans="1:3">
      <c r="A18" s="108" t="s">
        <v>143</v>
      </c>
      <c r="B18" s="67">
        <v>1168</v>
      </c>
      <c r="C18" s="67">
        <v>1149</v>
      </c>
    </row>
    <row r="19" spans="1:3" ht="24" customHeight="1">
      <c r="A19" s="108" t="s">
        <v>144</v>
      </c>
      <c r="B19" s="74">
        <v>-478</v>
      </c>
      <c r="C19" s="74">
        <v>-712</v>
      </c>
    </row>
    <row r="20" spans="1:3">
      <c r="A20" s="108" t="s">
        <v>145</v>
      </c>
      <c r="B20" s="67">
        <v>8006</v>
      </c>
      <c r="C20" s="67">
        <v>8157</v>
      </c>
    </row>
    <row r="21" spans="1:3" hidden="1">
      <c r="A21" s="108" t="s">
        <v>146</v>
      </c>
      <c r="B21" s="203">
        <v>0</v>
      </c>
      <c r="C21" s="203">
        <v>0</v>
      </c>
    </row>
    <row r="22" spans="1:3">
      <c r="A22" s="108" t="s">
        <v>147</v>
      </c>
      <c r="B22" s="74">
        <v>-136</v>
      </c>
      <c r="C22" s="74">
        <v>377</v>
      </c>
    </row>
    <row r="23" spans="1:3">
      <c r="A23" s="68"/>
      <c r="B23" s="64">
        <f>SUM(B5:B22)</f>
        <v>10417</v>
      </c>
      <c r="C23" s="64">
        <f>SUM(C5:C22)</f>
        <v>4015</v>
      </c>
    </row>
    <row r="24" spans="1:3">
      <c r="A24" s="108" t="s">
        <v>149</v>
      </c>
      <c r="B24" s="74"/>
      <c r="C24" s="74"/>
    </row>
    <row r="25" spans="1:3" ht="22.5">
      <c r="A25" s="108" t="s">
        <v>150</v>
      </c>
      <c r="B25" s="67">
        <v>2299</v>
      </c>
      <c r="C25" s="67">
        <v>7043</v>
      </c>
    </row>
    <row r="26" spans="1:3">
      <c r="A26" s="115" t="s">
        <v>151</v>
      </c>
      <c r="B26" s="67">
        <v>3667</v>
      </c>
      <c r="C26" s="67">
        <v>-2575</v>
      </c>
    </row>
    <row r="27" spans="1:3">
      <c r="A27" s="115" t="s">
        <v>152</v>
      </c>
      <c r="B27" s="67">
        <v>336</v>
      </c>
      <c r="C27" s="67">
        <v>-1025</v>
      </c>
    </row>
    <row r="28" spans="1:3">
      <c r="A28" s="115" t="s">
        <v>153</v>
      </c>
      <c r="B28" s="67">
        <v>-660</v>
      </c>
      <c r="C28" s="74">
        <v>-2347</v>
      </c>
    </row>
    <row r="29" spans="1:3" ht="22.5">
      <c r="A29" s="115" t="s">
        <v>270</v>
      </c>
      <c r="B29" s="116">
        <f>5763-3620-5</f>
        <v>2138</v>
      </c>
      <c r="C29" s="204">
        <v>-5772</v>
      </c>
    </row>
    <row r="30" spans="1:3">
      <c r="A30" s="115" t="s">
        <v>155</v>
      </c>
      <c r="B30" s="116">
        <v>-1912</v>
      </c>
      <c r="C30" s="67">
        <v>1822</v>
      </c>
    </row>
    <row r="31" spans="1:3">
      <c r="A31" s="108" t="s">
        <v>156</v>
      </c>
      <c r="B31" s="116">
        <v>-342</v>
      </c>
      <c r="C31" s="205">
        <v>1212</v>
      </c>
    </row>
    <row r="32" spans="1:3">
      <c r="A32" s="108" t="s">
        <v>157</v>
      </c>
      <c r="B32" s="206">
        <v>-589</v>
      </c>
      <c r="C32" s="205">
        <v>235</v>
      </c>
    </row>
    <row r="33" spans="1:3">
      <c r="A33" s="108" t="s">
        <v>158</v>
      </c>
      <c r="B33" s="116">
        <f>-1420+3620</f>
        <v>2200</v>
      </c>
      <c r="C33" s="67">
        <v>-967</v>
      </c>
    </row>
    <row r="34" spans="1:3">
      <c r="A34" s="117" t="s">
        <v>159</v>
      </c>
      <c r="B34" s="64">
        <f>SUM(B23:B33)</f>
        <v>17554</v>
      </c>
      <c r="C34" s="64">
        <f>SUM(C23:C33)</f>
        <v>1641</v>
      </c>
    </row>
    <row r="35" spans="1:3">
      <c r="A35" s="108" t="s">
        <v>271</v>
      </c>
      <c r="B35" s="74">
        <v>-344</v>
      </c>
      <c r="C35" s="74">
        <v>-673</v>
      </c>
    </row>
    <row r="36" spans="1:3">
      <c r="A36" s="108" t="s">
        <v>161</v>
      </c>
      <c r="B36" s="74">
        <v>-919</v>
      </c>
      <c r="C36" s="74">
        <v>-672</v>
      </c>
    </row>
    <row r="37" spans="1:3">
      <c r="A37" s="118" t="s">
        <v>162</v>
      </c>
      <c r="B37" s="64">
        <f>SUM(B34:B36)</f>
        <v>16291</v>
      </c>
      <c r="C37" s="64">
        <f>SUM(C34:C36)</f>
        <v>296</v>
      </c>
    </row>
    <row r="38" spans="1:3" ht="51" customHeight="1">
      <c r="A38" s="264" t="s">
        <v>272</v>
      </c>
      <c r="B38" s="264"/>
      <c r="C38" s="264"/>
    </row>
    <row r="39" spans="1:3">
      <c r="A39" s="252"/>
      <c r="B39" s="253" t="s">
        <v>67</v>
      </c>
      <c r="C39" s="253"/>
    </row>
    <row r="40" spans="1:3" ht="35.25" customHeight="1">
      <c r="A40" s="252"/>
      <c r="B40" s="57" t="str">
        <f>B3</f>
        <v>Okres zakończony 31/12/2020</v>
      </c>
      <c r="C40" s="57" t="str">
        <f>C3</f>
        <v>Okres zakończony 31/12/2019</v>
      </c>
    </row>
    <row r="41" spans="1:3" ht="10.5" customHeight="1">
      <c r="A41" s="108"/>
      <c r="B41" s="74"/>
      <c r="C41" s="74"/>
    </row>
    <row r="42" spans="1:3" ht="9" customHeight="1">
      <c r="A42" s="207" t="s">
        <v>164</v>
      </c>
      <c r="B42" s="98"/>
      <c r="C42" s="98"/>
    </row>
    <row r="43" spans="1:3" hidden="1">
      <c r="A43" s="108" t="s">
        <v>165</v>
      </c>
      <c r="B43" s="120">
        <v>0</v>
      </c>
      <c r="C43" s="120">
        <v>0</v>
      </c>
    </row>
    <row r="44" spans="1:3" hidden="1">
      <c r="A44" s="108" t="s">
        <v>166</v>
      </c>
      <c r="B44" s="120">
        <v>0</v>
      </c>
      <c r="C44" s="202">
        <v>0</v>
      </c>
    </row>
    <row r="45" spans="1:3">
      <c r="A45" s="108" t="s">
        <v>273</v>
      </c>
      <c r="B45" s="120">
        <v>10</v>
      </c>
      <c r="C45" s="202">
        <v>0</v>
      </c>
    </row>
    <row r="46" spans="1:3">
      <c r="A46" s="108" t="s">
        <v>172</v>
      </c>
      <c r="B46" s="119">
        <v>-40</v>
      </c>
      <c r="C46" s="202">
        <v>0</v>
      </c>
    </row>
    <row r="47" spans="1:3">
      <c r="A47" s="108" t="s">
        <v>274</v>
      </c>
      <c r="B47" s="120">
        <v>0</v>
      </c>
      <c r="C47" s="67">
        <v>421</v>
      </c>
    </row>
    <row r="48" spans="1:3">
      <c r="A48" s="108" t="s">
        <v>169</v>
      </c>
      <c r="B48" s="116">
        <v>-613</v>
      </c>
      <c r="C48" s="205">
        <v>-1613</v>
      </c>
    </row>
    <row r="49" spans="1:3" hidden="1">
      <c r="A49" s="108" t="s">
        <v>170</v>
      </c>
      <c r="B49" s="180">
        <v>0</v>
      </c>
      <c r="C49" s="180">
        <v>0</v>
      </c>
    </row>
    <row r="50" spans="1:3">
      <c r="A50" s="108" t="s">
        <v>173</v>
      </c>
      <c r="B50" s="67">
        <v>-1758</v>
      </c>
      <c r="C50" s="67">
        <v>-1588</v>
      </c>
    </row>
    <row r="51" spans="1:3">
      <c r="A51" s="108" t="s">
        <v>174</v>
      </c>
      <c r="B51" s="67">
        <v>197</v>
      </c>
      <c r="C51" s="74">
        <v>199</v>
      </c>
    </row>
    <row r="52" spans="1:3" hidden="1">
      <c r="A52" s="108" t="s">
        <v>175</v>
      </c>
      <c r="B52" s="180">
        <v>0</v>
      </c>
      <c r="C52" s="180">
        <v>0</v>
      </c>
    </row>
    <row r="53" spans="1:3">
      <c r="A53" s="108" t="s">
        <v>176</v>
      </c>
      <c r="B53" s="180">
        <v>0</v>
      </c>
      <c r="C53" s="205">
        <v>-493</v>
      </c>
    </row>
    <row r="54" spans="1:3">
      <c r="A54" s="108" t="s">
        <v>275</v>
      </c>
      <c r="B54" s="67">
        <v>335</v>
      </c>
      <c r="C54" s="180">
        <v>0</v>
      </c>
    </row>
    <row r="55" spans="1:3" hidden="1">
      <c r="A55" s="108" t="s">
        <v>178</v>
      </c>
      <c r="B55" s="180">
        <v>0</v>
      </c>
      <c r="C55" s="180">
        <v>0</v>
      </c>
    </row>
    <row r="56" spans="1:3" hidden="1">
      <c r="A56" s="108" t="s">
        <v>276</v>
      </c>
      <c r="B56" s="180">
        <v>0</v>
      </c>
      <c r="C56" s="180">
        <v>0</v>
      </c>
    </row>
    <row r="57" spans="1:3" ht="26.25" customHeight="1">
      <c r="A57" s="118" t="s">
        <v>277</v>
      </c>
      <c r="B57" s="64">
        <f>SUM(B43:B56)</f>
        <v>-1869</v>
      </c>
      <c r="C57" s="64">
        <f>SUM(C43:C56)</f>
        <v>-3074</v>
      </c>
    </row>
    <row r="58" spans="1:3">
      <c r="A58" s="104" t="s">
        <v>180</v>
      </c>
      <c r="B58" s="77"/>
      <c r="C58" s="77"/>
    </row>
    <row r="59" spans="1:3" hidden="1">
      <c r="A59" s="108" t="s">
        <v>181</v>
      </c>
      <c r="B59" s="180">
        <v>0</v>
      </c>
      <c r="C59" s="180">
        <v>0</v>
      </c>
    </row>
    <row r="60" spans="1:3" hidden="1">
      <c r="A60" s="108" t="s">
        <v>182</v>
      </c>
      <c r="B60" s="180">
        <v>0</v>
      </c>
      <c r="C60" s="180">
        <v>0</v>
      </c>
    </row>
    <row r="61" spans="1:3" hidden="1">
      <c r="A61" s="108" t="s">
        <v>183</v>
      </c>
      <c r="B61" s="180">
        <v>0</v>
      </c>
      <c r="C61" s="180">
        <v>0</v>
      </c>
    </row>
    <row r="62" spans="1:3" hidden="1">
      <c r="A62" s="108" t="s">
        <v>184</v>
      </c>
      <c r="B62" s="180">
        <v>0</v>
      </c>
      <c r="C62" s="180">
        <v>0</v>
      </c>
    </row>
    <row r="63" spans="1:3">
      <c r="A63" s="108" t="s">
        <v>185</v>
      </c>
      <c r="B63" s="116">
        <f>-5185+2423</f>
        <v>-2762</v>
      </c>
      <c r="C63" s="67">
        <v>-2750</v>
      </c>
    </row>
    <row r="64" spans="1:3">
      <c r="A64" s="108" t="s">
        <v>186</v>
      </c>
      <c r="B64" s="116">
        <v>-104</v>
      </c>
      <c r="C64" s="67">
        <v>-512</v>
      </c>
    </row>
    <row r="65" spans="1:3" hidden="1">
      <c r="A65" s="108" t="s">
        <v>187</v>
      </c>
      <c r="B65" s="208">
        <v>0</v>
      </c>
      <c r="C65" s="120">
        <v>0</v>
      </c>
    </row>
    <row r="66" spans="1:3" hidden="1">
      <c r="A66" s="108" t="s">
        <v>184</v>
      </c>
      <c r="B66" s="209">
        <v>0</v>
      </c>
      <c r="C66" s="120">
        <v>0</v>
      </c>
    </row>
    <row r="67" spans="1:3" hidden="1">
      <c r="A67" s="108" t="s">
        <v>278</v>
      </c>
      <c r="B67" s="210">
        <v>0</v>
      </c>
      <c r="C67" s="111">
        <v>0</v>
      </c>
    </row>
    <row r="68" spans="1:3">
      <c r="A68" s="108" t="s">
        <v>279</v>
      </c>
      <c r="B68" s="116">
        <v>-87</v>
      </c>
      <c r="C68" s="111">
        <v>0</v>
      </c>
    </row>
    <row r="69" spans="1:3">
      <c r="A69" s="108" t="s">
        <v>280</v>
      </c>
      <c r="B69" s="209">
        <v>0</v>
      </c>
      <c r="C69" s="67">
        <v>5351</v>
      </c>
    </row>
    <row r="70" spans="1:3">
      <c r="A70" s="108" t="s">
        <v>281</v>
      </c>
      <c r="B70" s="209">
        <v>0</v>
      </c>
      <c r="C70" s="67">
        <v>3627</v>
      </c>
    </row>
    <row r="71" spans="1:3">
      <c r="A71" s="108" t="s">
        <v>189</v>
      </c>
      <c r="B71" s="116">
        <f>6923-2423</f>
        <v>4500</v>
      </c>
      <c r="C71" s="111">
        <v>0</v>
      </c>
    </row>
    <row r="72" spans="1:3" hidden="1">
      <c r="A72" s="108" t="s">
        <v>191</v>
      </c>
      <c r="B72" s="211">
        <v>0</v>
      </c>
      <c r="C72" s="211">
        <v>0</v>
      </c>
    </row>
    <row r="73" spans="1:3" hidden="1">
      <c r="A73" s="108" t="s">
        <v>192</v>
      </c>
      <c r="B73" s="111">
        <v>0</v>
      </c>
      <c r="C73" s="111">
        <v>0</v>
      </c>
    </row>
    <row r="74" spans="1:3">
      <c r="A74" s="108" t="s">
        <v>193</v>
      </c>
      <c r="B74" s="67">
        <v>-5375</v>
      </c>
      <c r="C74" s="67">
        <v>-3960</v>
      </c>
    </row>
    <row r="75" spans="1:3" ht="26.25" customHeight="1">
      <c r="A75" s="118" t="s">
        <v>194</v>
      </c>
      <c r="B75" s="64">
        <f>SUM(B59:B74)</f>
        <v>-3828</v>
      </c>
      <c r="C75" s="64">
        <f>SUM(C59:C74)</f>
        <v>1756</v>
      </c>
    </row>
    <row r="76" spans="1:3">
      <c r="A76" s="94" t="s">
        <v>195</v>
      </c>
      <c r="B76" s="67">
        <f>B37+B75+B57</f>
        <v>10594</v>
      </c>
      <c r="C76" s="67">
        <v>-1021</v>
      </c>
    </row>
    <row r="77" spans="1:3" ht="21" customHeight="1">
      <c r="A77" s="94" t="s">
        <v>196</v>
      </c>
      <c r="B77" s="67">
        <v>1082</v>
      </c>
      <c r="C77" s="67">
        <v>2103</v>
      </c>
    </row>
    <row r="78" spans="1:3" ht="22.5" hidden="1">
      <c r="A78" s="94" t="s">
        <v>197</v>
      </c>
      <c r="B78" s="180">
        <v>0</v>
      </c>
      <c r="C78" s="180">
        <v>0</v>
      </c>
    </row>
    <row r="79" spans="1:3" ht="22.5" hidden="1">
      <c r="A79" s="94" t="s">
        <v>198</v>
      </c>
      <c r="B79" s="180">
        <v>0</v>
      </c>
      <c r="C79" s="180">
        <v>0</v>
      </c>
    </row>
    <row r="80" spans="1:3" ht="24">
      <c r="A80" s="121" t="s">
        <v>199</v>
      </c>
      <c r="B80" s="123">
        <f>B76+B77</f>
        <v>11676</v>
      </c>
      <c r="C80" s="123">
        <f>C76+C77</f>
        <v>1082</v>
      </c>
    </row>
    <row r="81" spans="1:1" ht="9.75" customHeight="1"/>
    <row r="84" spans="1:1" ht="23.25" customHeight="1"/>
    <row r="85" spans="1:1" ht="23.25" customHeight="1"/>
    <row r="86" spans="1:1" ht="12" customHeight="1"/>
    <row r="87" spans="1:1" ht="30.75" customHeight="1">
      <c r="A87" s="125" t="s">
        <v>282</v>
      </c>
    </row>
  </sheetData>
  <mergeCells count="6">
    <mergeCell ref="A1:C1"/>
    <mergeCell ref="A2:A3"/>
    <mergeCell ref="B2:C2"/>
    <mergeCell ref="A38:C38"/>
    <mergeCell ref="A39:A40"/>
    <mergeCell ref="B39:C39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&amp;L&amp;"Lato Light,Standardowy"&amp;8&amp;KE73E2ARoczne jednostkowe sprawozdanie finansowe Ailleron SA za okres od 1 stycznia 2020 r. do 31 grudnia 2020 r                                          (wszystkie kwoty podano w tys.PLN, o ile nie wskazano inaczej)</oddHeader>
    <oddFooter>&amp;C&amp;P</oddFooter>
  </headerFooter>
  <rowBreaks count="1" manualBreakCount="1">
    <brk id="37" max="2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C63B5-49AD-4358-9B4C-61D2B41F492C}">
  <sheetPr>
    <pageSetUpPr fitToPage="1"/>
  </sheetPr>
  <dimension ref="A1:H79"/>
  <sheetViews>
    <sheetView showGridLines="0" view="pageBreakPreview" zoomScaleNormal="100" zoomScaleSheetLayoutView="100" workbookViewId="0">
      <selection activeCell="K74" sqref="K74"/>
    </sheetView>
  </sheetViews>
  <sheetFormatPr defaultColWidth="9.28515625" defaultRowHeight="15"/>
  <cols>
    <col min="1" max="1" width="43.5703125" style="4" bestFit="1" customWidth="1"/>
    <col min="2" max="3" width="8.28515625" style="4" customWidth="1"/>
    <col min="4" max="4" width="8.28515625" style="4" hidden="1" customWidth="1"/>
    <col min="5" max="6" width="8.28515625" style="4" customWidth="1"/>
    <col min="7" max="7" width="8.28515625" style="4" hidden="1" customWidth="1"/>
    <col min="8" max="8" width="8.28515625" style="4" customWidth="1"/>
    <col min="9" max="16384" width="9.28515625" style="4"/>
  </cols>
  <sheetData>
    <row r="1" spans="1:8" ht="37.15" customHeight="1">
      <c r="A1" s="254" t="s">
        <v>283</v>
      </c>
      <c r="B1" s="254"/>
      <c r="C1" s="254"/>
      <c r="D1" s="254"/>
      <c r="E1" s="254"/>
      <c r="F1" s="254"/>
      <c r="G1" s="254"/>
      <c r="H1" s="254"/>
    </row>
    <row r="2" spans="1:8">
      <c r="A2" s="255"/>
      <c r="B2" s="257" t="s">
        <v>67</v>
      </c>
      <c r="C2" s="258"/>
      <c r="D2" s="258"/>
      <c r="E2" s="258"/>
      <c r="F2" s="258"/>
      <c r="G2" s="258"/>
      <c r="H2" s="258"/>
    </row>
    <row r="3" spans="1:8" ht="14.65" customHeight="1">
      <c r="A3" s="256"/>
      <c r="B3" s="266" t="s">
        <v>201</v>
      </c>
      <c r="C3" s="266" t="s">
        <v>31</v>
      </c>
      <c r="D3" s="266" t="s">
        <v>203</v>
      </c>
      <c r="E3" s="266" t="s">
        <v>32</v>
      </c>
      <c r="F3" s="266" t="s">
        <v>205</v>
      </c>
      <c r="G3" s="268" t="s">
        <v>284</v>
      </c>
      <c r="H3" s="268" t="s">
        <v>206</v>
      </c>
    </row>
    <row r="4" spans="1:8" ht="69" customHeight="1">
      <c r="A4" s="265"/>
      <c r="B4" s="267"/>
      <c r="C4" s="267"/>
      <c r="D4" s="267"/>
      <c r="E4" s="267"/>
      <c r="F4" s="267"/>
      <c r="G4" s="269"/>
      <c r="H4" s="269"/>
    </row>
    <row r="5" spans="1:8" ht="14.1" customHeight="1">
      <c r="A5" s="150" t="s">
        <v>207</v>
      </c>
      <c r="B5" s="129">
        <v>3707</v>
      </c>
      <c r="C5" s="129">
        <f>Bilans_j!D35</f>
        <v>38412</v>
      </c>
      <c r="D5" s="130" t="s">
        <v>208</v>
      </c>
      <c r="E5" s="129">
        <v>31901</v>
      </c>
      <c r="F5" s="129">
        <f>E5</f>
        <v>31901</v>
      </c>
      <c r="G5" s="130" t="s">
        <v>240</v>
      </c>
      <c r="H5" s="131">
        <f>SUM(B5:E5)</f>
        <v>74020</v>
      </c>
    </row>
    <row r="6" spans="1:8" ht="14.1" hidden="1" customHeight="1">
      <c r="A6" s="132" t="s">
        <v>209</v>
      </c>
      <c r="B6" s="129" t="s">
        <v>210</v>
      </c>
      <c r="C6" s="129" t="s">
        <v>121</v>
      </c>
      <c r="D6" s="130" t="s">
        <v>211</v>
      </c>
      <c r="E6" s="129" t="s">
        <v>212</v>
      </c>
      <c r="F6" s="129" t="s">
        <v>212</v>
      </c>
      <c r="G6" s="130" t="s">
        <v>212</v>
      </c>
      <c r="H6" s="131" t="s">
        <v>212</v>
      </c>
    </row>
    <row r="7" spans="1:8" ht="14.1" customHeight="1">
      <c r="A7" s="132" t="s">
        <v>213</v>
      </c>
      <c r="B7" s="129">
        <v>3707</v>
      </c>
      <c r="C7" s="129">
        <v>38412</v>
      </c>
      <c r="D7" s="130" t="s">
        <v>211</v>
      </c>
      <c r="E7" s="129">
        <f>E5</f>
        <v>31901</v>
      </c>
      <c r="F7" s="129">
        <f>E5</f>
        <v>31901</v>
      </c>
      <c r="G7" s="130" t="s">
        <v>240</v>
      </c>
      <c r="H7" s="131">
        <f>SUM(B7:E7)</f>
        <v>74020</v>
      </c>
    </row>
    <row r="8" spans="1:8" ht="14.1" customHeight="1">
      <c r="A8" s="132" t="s">
        <v>214</v>
      </c>
      <c r="B8" s="129" t="s">
        <v>212</v>
      </c>
      <c r="C8" s="129" t="s">
        <v>212</v>
      </c>
      <c r="D8" s="130" t="s">
        <v>212</v>
      </c>
      <c r="E8" s="129">
        <f>RZIS_j!D70</f>
        <v>-6164</v>
      </c>
      <c r="F8" s="129">
        <f>E8</f>
        <v>-6164</v>
      </c>
      <c r="G8" s="130" t="s">
        <v>240</v>
      </c>
      <c r="H8" s="131">
        <f>E8</f>
        <v>-6164</v>
      </c>
    </row>
    <row r="9" spans="1:8" ht="14.1" hidden="1" customHeight="1">
      <c r="A9" s="132" t="s">
        <v>215</v>
      </c>
      <c r="B9" s="130" t="s">
        <v>121</v>
      </c>
      <c r="C9" s="130" t="s">
        <v>121</v>
      </c>
      <c r="D9" s="130" t="s">
        <v>121</v>
      </c>
      <c r="E9" s="130" t="s">
        <v>212</v>
      </c>
      <c r="F9" s="130" t="s">
        <v>212</v>
      </c>
      <c r="G9" s="130" t="s">
        <v>212</v>
      </c>
      <c r="H9" s="142" t="s">
        <v>212</v>
      </c>
    </row>
    <row r="10" spans="1:8" ht="14.1" customHeight="1">
      <c r="A10" s="134" t="s">
        <v>216</v>
      </c>
      <c r="B10" s="135" t="s">
        <v>212</v>
      </c>
      <c r="C10" s="135" t="s">
        <v>212</v>
      </c>
      <c r="D10" s="135" t="s">
        <v>212</v>
      </c>
      <c r="E10" s="136">
        <f>E8</f>
        <v>-6164</v>
      </c>
      <c r="F10" s="136">
        <f>F8</f>
        <v>-6164</v>
      </c>
      <c r="G10" s="135" t="s">
        <v>240</v>
      </c>
      <c r="H10" s="151">
        <f>E10</f>
        <v>-6164</v>
      </c>
    </row>
    <row r="11" spans="1:8" ht="14.1" hidden="1" customHeight="1">
      <c r="A11" s="132" t="s">
        <v>217</v>
      </c>
      <c r="B11" s="130" t="s">
        <v>212</v>
      </c>
      <c r="C11" s="130" t="s">
        <v>212</v>
      </c>
      <c r="D11" s="130" t="s">
        <v>212</v>
      </c>
      <c r="E11" s="130" t="s">
        <v>219</v>
      </c>
      <c r="F11" s="130" t="s">
        <v>219</v>
      </c>
      <c r="G11" s="130" t="s">
        <v>219</v>
      </c>
      <c r="H11" s="142" t="s">
        <v>219</v>
      </c>
    </row>
    <row r="12" spans="1:8" ht="14.1" hidden="1" customHeight="1">
      <c r="A12" s="132" t="s">
        <v>220</v>
      </c>
      <c r="B12" s="130" t="s">
        <v>212</v>
      </c>
      <c r="C12" s="130" t="s">
        <v>212</v>
      </c>
      <c r="D12" s="130" t="s">
        <v>212</v>
      </c>
      <c r="E12" s="158">
        <v>0</v>
      </c>
      <c r="F12" s="158">
        <v>0</v>
      </c>
      <c r="G12" s="129" t="s">
        <v>212</v>
      </c>
      <c r="H12" s="212">
        <f>F12</f>
        <v>0</v>
      </c>
    </row>
    <row r="13" spans="1:8" ht="14.1" customHeight="1">
      <c r="A13" s="139" t="s">
        <v>221</v>
      </c>
      <c r="B13" s="140">
        <v>3707</v>
      </c>
      <c r="C13" s="140">
        <v>38412</v>
      </c>
      <c r="D13" s="140" t="s">
        <v>222</v>
      </c>
      <c r="E13" s="140">
        <f>E7+E8-E12</f>
        <v>25737</v>
      </c>
      <c r="F13" s="140">
        <f>F7+F8-F12</f>
        <v>25737</v>
      </c>
      <c r="G13" s="140" t="s">
        <v>240</v>
      </c>
      <c r="H13" s="141">
        <f>H7+H8-H12</f>
        <v>67856</v>
      </c>
    </row>
    <row r="14" spans="1:8" ht="14.1" hidden="1" customHeight="1">
      <c r="A14" s="213" t="s">
        <v>214</v>
      </c>
      <c r="B14" s="214" t="s">
        <v>212</v>
      </c>
      <c r="C14" s="214" t="s">
        <v>212</v>
      </c>
      <c r="D14" s="214" t="s">
        <v>212</v>
      </c>
      <c r="E14" s="214" t="s">
        <v>285</v>
      </c>
      <c r="F14" s="214" t="s">
        <v>285</v>
      </c>
      <c r="G14" s="214" t="s">
        <v>212</v>
      </c>
      <c r="H14" s="215" t="s">
        <v>285</v>
      </c>
    </row>
    <row r="15" spans="1:8" ht="14.1" hidden="1" customHeight="1">
      <c r="A15" s="213" t="s">
        <v>215</v>
      </c>
      <c r="B15" s="214" t="s">
        <v>212</v>
      </c>
      <c r="C15" s="214" t="s">
        <v>212</v>
      </c>
      <c r="D15" s="214" t="s">
        <v>212</v>
      </c>
      <c r="E15" s="214" t="s">
        <v>212</v>
      </c>
      <c r="F15" s="214" t="s">
        <v>212</v>
      </c>
      <c r="G15" s="214" t="s">
        <v>212</v>
      </c>
      <c r="H15" s="215" t="s">
        <v>212</v>
      </c>
    </row>
    <row r="16" spans="1:8" ht="14.1" hidden="1" customHeight="1">
      <c r="A16" s="216" t="s">
        <v>216</v>
      </c>
      <c r="B16" s="217" t="s">
        <v>212</v>
      </c>
      <c r="C16" s="217" t="s">
        <v>212</v>
      </c>
      <c r="D16" s="217" t="s">
        <v>212</v>
      </c>
      <c r="E16" s="217" t="s">
        <v>212</v>
      </c>
      <c r="F16" s="217" t="s">
        <v>212</v>
      </c>
      <c r="G16" s="217" t="s">
        <v>212</v>
      </c>
      <c r="H16" s="218">
        <f>H7+H10</f>
        <v>67856</v>
      </c>
    </row>
    <row r="17" spans="1:8" ht="14.1" hidden="1" customHeight="1">
      <c r="A17" s="219" t="s">
        <v>215</v>
      </c>
      <c r="B17" s="220" t="s">
        <v>121</v>
      </c>
      <c r="C17" s="130" t="s">
        <v>121</v>
      </c>
      <c r="D17" s="221" t="s">
        <v>121</v>
      </c>
      <c r="E17" s="221" t="s">
        <v>121</v>
      </c>
      <c r="F17" s="130" t="s">
        <v>121</v>
      </c>
      <c r="G17" s="130" t="s">
        <v>121</v>
      </c>
      <c r="H17" s="142" t="s">
        <v>121</v>
      </c>
    </row>
    <row r="18" spans="1:8" ht="14.1" hidden="1" customHeight="1">
      <c r="A18" s="132" t="s">
        <v>217</v>
      </c>
      <c r="B18" s="130" t="s">
        <v>121</v>
      </c>
      <c r="C18" s="222" t="s">
        <v>121</v>
      </c>
      <c r="D18" s="130" t="s">
        <v>121</v>
      </c>
      <c r="E18" s="130" t="s">
        <v>121</v>
      </c>
      <c r="F18" s="222" t="s">
        <v>121</v>
      </c>
      <c r="G18" s="223" t="s">
        <v>121</v>
      </c>
      <c r="H18" s="224" t="str">
        <f t="shared" ref="H18:H29" si="0">E18</f>
        <v>-</v>
      </c>
    </row>
    <row r="19" spans="1:8" ht="14.1" hidden="1" customHeight="1">
      <c r="A19" s="132" t="s">
        <v>224</v>
      </c>
      <c r="B19" s="130" t="s">
        <v>121</v>
      </c>
      <c r="C19" s="130" t="s">
        <v>121</v>
      </c>
      <c r="D19" s="130" t="s">
        <v>121</v>
      </c>
      <c r="E19" s="130" t="s">
        <v>121</v>
      </c>
      <c r="F19" s="130" t="s">
        <v>121</v>
      </c>
      <c r="G19" s="130" t="s">
        <v>121</v>
      </c>
      <c r="H19" s="131" t="str">
        <f t="shared" si="0"/>
        <v>-</v>
      </c>
    </row>
    <row r="20" spans="1:8" ht="14.1" customHeight="1">
      <c r="A20" s="143" t="s">
        <v>225</v>
      </c>
      <c r="B20" s="130" t="s">
        <v>121</v>
      </c>
      <c r="C20" s="130" t="s">
        <v>121</v>
      </c>
      <c r="D20" s="130" t="s">
        <v>121</v>
      </c>
      <c r="E20" s="130">
        <v>-282</v>
      </c>
      <c r="F20" s="130">
        <v>-282</v>
      </c>
      <c r="G20" s="130" t="s">
        <v>121</v>
      </c>
      <c r="H20" s="131">
        <f t="shared" si="0"/>
        <v>-282</v>
      </c>
    </row>
    <row r="21" spans="1:8" ht="14.1" hidden="1" customHeight="1">
      <c r="A21" s="132" t="s">
        <v>286</v>
      </c>
      <c r="B21" s="130" t="s">
        <v>121</v>
      </c>
      <c r="C21" s="130" t="s">
        <v>121</v>
      </c>
      <c r="D21" s="130" t="s">
        <v>121</v>
      </c>
      <c r="E21" s="130" t="s">
        <v>121</v>
      </c>
      <c r="F21" s="130" t="s">
        <v>121</v>
      </c>
      <c r="G21" s="130" t="s">
        <v>121</v>
      </c>
      <c r="H21" s="131" t="str">
        <f t="shared" si="0"/>
        <v>-</v>
      </c>
    </row>
    <row r="22" spans="1:8" ht="14.1" hidden="1" customHeight="1">
      <c r="A22" s="132" t="s">
        <v>226</v>
      </c>
      <c r="B22" s="130" t="s">
        <v>121</v>
      </c>
      <c r="C22" s="130" t="s">
        <v>121</v>
      </c>
      <c r="D22" s="130" t="s">
        <v>121</v>
      </c>
      <c r="E22" s="130" t="s">
        <v>121</v>
      </c>
      <c r="F22" s="130" t="s">
        <v>121</v>
      </c>
      <c r="G22" s="130" t="s">
        <v>121</v>
      </c>
      <c r="H22" s="131" t="str">
        <f t="shared" si="0"/>
        <v>-</v>
      </c>
    </row>
    <row r="23" spans="1:8" ht="14.1" hidden="1" customHeight="1">
      <c r="A23" s="132" t="s">
        <v>227</v>
      </c>
      <c r="B23" s="130" t="s">
        <v>121</v>
      </c>
      <c r="C23" s="130" t="s">
        <v>121</v>
      </c>
      <c r="D23" s="130" t="s">
        <v>121</v>
      </c>
      <c r="E23" s="130" t="s">
        <v>121</v>
      </c>
      <c r="F23" s="130" t="s">
        <v>121</v>
      </c>
      <c r="G23" s="130" t="s">
        <v>121</v>
      </c>
      <c r="H23" s="131" t="str">
        <f t="shared" si="0"/>
        <v>-</v>
      </c>
    </row>
    <row r="24" spans="1:8" ht="14.1" hidden="1" customHeight="1">
      <c r="A24" s="132" t="s">
        <v>228</v>
      </c>
      <c r="B24" s="130" t="s">
        <v>121</v>
      </c>
      <c r="C24" s="130" t="s">
        <v>121</v>
      </c>
      <c r="D24" s="130" t="s">
        <v>121</v>
      </c>
      <c r="E24" s="130" t="s">
        <v>121</v>
      </c>
      <c r="F24" s="130" t="s">
        <v>121</v>
      </c>
      <c r="G24" s="130" t="s">
        <v>121</v>
      </c>
      <c r="H24" s="131" t="str">
        <f t="shared" si="0"/>
        <v>-</v>
      </c>
    </row>
    <row r="25" spans="1:8" ht="14.1" hidden="1" customHeight="1">
      <c r="A25" s="132" t="s">
        <v>229</v>
      </c>
      <c r="B25" s="130" t="s">
        <v>121</v>
      </c>
      <c r="C25" s="130" t="s">
        <v>121</v>
      </c>
      <c r="D25" s="130" t="s">
        <v>121</v>
      </c>
      <c r="E25" s="130" t="s">
        <v>121</v>
      </c>
      <c r="F25" s="130" t="s">
        <v>121</v>
      </c>
      <c r="G25" s="130" t="s">
        <v>121</v>
      </c>
      <c r="H25" s="131" t="str">
        <f t="shared" si="0"/>
        <v>-</v>
      </c>
    </row>
    <row r="26" spans="1:8" ht="14.1" hidden="1" customHeight="1">
      <c r="A26" s="132" t="s">
        <v>230</v>
      </c>
      <c r="B26" s="130" t="s">
        <v>121</v>
      </c>
      <c r="C26" s="130" t="s">
        <v>121</v>
      </c>
      <c r="D26" s="130" t="s">
        <v>121</v>
      </c>
      <c r="E26" s="130" t="s">
        <v>121</v>
      </c>
      <c r="F26" s="130" t="s">
        <v>121</v>
      </c>
      <c r="G26" s="130" t="s">
        <v>121</v>
      </c>
      <c r="H26" s="131" t="str">
        <f t="shared" si="0"/>
        <v>-</v>
      </c>
    </row>
    <row r="27" spans="1:8" ht="14.1" hidden="1" customHeight="1">
      <c r="A27" s="132" t="s">
        <v>231</v>
      </c>
      <c r="B27" s="130" t="s">
        <v>121</v>
      </c>
      <c r="C27" s="130" t="s">
        <v>121</v>
      </c>
      <c r="D27" s="130" t="s">
        <v>121</v>
      </c>
      <c r="E27" s="130" t="s">
        <v>121</v>
      </c>
      <c r="F27" s="130" t="s">
        <v>121</v>
      </c>
      <c r="G27" s="130" t="s">
        <v>121</v>
      </c>
      <c r="H27" s="131" t="str">
        <f t="shared" si="0"/>
        <v>-</v>
      </c>
    </row>
    <row r="28" spans="1:8" ht="14.1" hidden="1" customHeight="1">
      <c r="A28" s="132" t="s">
        <v>232</v>
      </c>
      <c r="B28" s="130" t="s">
        <v>121</v>
      </c>
      <c r="C28" s="130" t="s">
        <v>121</v>
      </c>
      <c r="D28" s="130" t="s">
        <v>121</v>
      </c>
      <c r="E28" s="130" t="s">
        <v>121</v>
      </c>
      <c r="F28" s="130" t="s">
        <v>121</v>
      </c>
      <c r="G28" s="130" t="s">
        <v>121</v>
      </c>
      <c r="H28" s="131" t="str">
        <f t="shared" si="0"/>
        <v>-</v>
      </c>
    </row>
    <row r="29" spans="1:8" ht="14.1" hidden="1" customHeight="1">
      <c r="A29" s="132" t="s">
        <v>287</v>
      </c>
      <c r="B29" s="130" t="s">
        <v>121</v>
      </c>
      <c r="C29" s="130" t="s">
        <v>121</v>
      </c>
      <c r="D29" s="130" t="s">
        <v>121</v>
      </c>
      <c r="E29" s="130" t="s">
        <v>121</v>
      </c>
      <c r="F29" s="130" t="s">
        <v>121</v>
      </c>
      <c r="G29" s="130" t="s">
        <v>121</v>
      </c>
      <c r="H29" s="131" t="str">
        <f t="shared" si="0"/>
        <v>-</v>
      </c>
    </row>
    <row r="30" spans="1:8" ht="14.1" customHeight="1">
      <c r="A30" s="132" t="s">
        <v>234</v>
      </c>
      <c r="B30" s="130" t="s">
        <v>121</v>
      </c>
      <c r="C30" s="130" t="s">
        <v>121</v>
      </c>
      <c r="D30" s="130" t="s">
        <v>121</v>
      </c>
      <c r="E30" s="129">
        <v>2792</v>
      </c>
      <c r="F30" s="129">
        <v>2792</v>
      </c>
      <c r="G30" s="225" t="s">
        <v>240</v>
      </c>
      <c r="H30" s="131">
        <f>E30</f>
        <v>2792</v>
      </c>
    </row>
    <row r="31" spans="1:8" ht="14.1" customHeight="1">
      <c r="A31" s="132" t="s">
        <v>235</v>
      </c>
      <c r="B31" s="130" t="s">
        <v>121</v>
      </c>
      <c r="C31" s="130" t="s">
        <v>121</v>
      </c>
      <c r="D31" s="130" t="s">
        <v>121</v>
      </c>
      <c r="E31" s="129">
        <v>-2792</v>
      </c>
      <c r="F31" s="129">
        <v>-2792</v>
      </c>
      <c r="G31" s="225" t="s">
        <v>240</v>
      </c>
      <c r="H31" s="131">
        <f>E31</f>
        <v>-2792</v>
      </c>
    </row>
    <row r="32" spans="1:8" ht="14.1" hidden="1" customHeight="1">
      <c r="A32" s="132" t="s">
        <v>288</v>
      </c>
      <c r="B32" s="130" t="s">
        <v>121</v>
      </c>
      <c r="C32" s="130" t="s">
        <v>121</v>
      </c>
      <c r="D32" s="130" t="s">
        <v>121</v>
      </c>
      <c r="E32" s="155">
        <v>0</v>
      </c>
      <c r="F32" s="155">
        <v>0</v>
      </c>
      <c r="G32" s="226" t="s">
        <v>240</v>
      </c>
      <c r="H32" s="133">
        <f>E32</f>
        <v>0</v>
      </c>
    </row>
    <row r="33" spans="1:8" ht="14.1" hidden="1" customHeight="1">
      <c r="A33" s="132" t="s">
        <v>289</v>
      </c>
      <c r="B33" s="130" t="s">
        <v>121</v>
      </c>
      <c r="C33" s="130" t="s">
        <v>121</v>
      </c>
      <c r="D33" s="130" t="s">
        <v>121</v>
      </c>
      <c r="E33" s="155">
        <v>0</v>
      </c>
      <c r="F33" s="155">
        <v>0</v>
      </c>
      <c r="G33" s="226" t="s">
        <v>240</v>
      </c>
      <c r="H33" s="133">
        <f>E33</f>
        <v>0</v>
      </c>
    </row>
    <row r="34" spans="1:8" ht="14.1" hidden="1" customHeight="1">
      <c r="A34" s="132" t="s">
        <v>238</v>
      </c>
      <c r="B34" s="130" t="s">
        <v>121</v>
      </c>
      <c r="C34" s="130" t="s">
        <v>121</v>
      </c>
      <c r="D34" s="130" t="s">
        <v>121</v>
      </c>
      <c r="E34" s="155" t="s">
        <v>121</v>
      </c>
      <c r="F34" s="155" t="s">
        <v>121</v>
      </c>
      <c r="G34" s="226" t="s">
        <v>240</v>
      </c>
      <c r="H34" s="133" t="s">
        <v>121</v>
      </c>
    </row>
    <row r="35" spans="1:8" ht="20.100000000000001" customHeight="1">
      <c r="A35" s="145" t="s">
        <v>239</v>
      </c>
      <c r="B35" s="146">
        <f>SUM(B13:B34)</f>
        <v>3707</v>
      </c>
      <c r="C35" s="146">
        <f>SUM(C13:C34)</f>
        <v>38412</v>
      </c>
      <c r="D35" s="147" t="s">
        <v>240</v>
      </c>
      <c r="E35" s="146">
        <f>SUM(E13:E34)</f>
        <v>25455</v>
      </c>
      <c r="F35" s="146">
        <f>SUM(F13:F34)</f>
        <v>25455</v>
      </c>
      <c r="G35" s="147" t="s">
        <v>240</v>
      </c>
      <c r="H35" s="148">
        <f>H13+H20+H30+H31</f>
        <v>67574</v>
      </c>
    </row>
    <row r="36" spans="1:8" ht="35.1" customHeight="1">
      <c r="A36" s="254"/>
      <c r="B36" s="254"/>
      <c r="C36" s="254"/>
      <c r="D36" s="254"/>
      <c r="E36" s="254"/>
      <c r="F36" s="254"/>
      <c r="G36" s="254"/>
      <c r="H36" s="254"/>
    </row>
    <row r="37" spans="1:8" ht="12" customHeight="1">
      <c r="A37" s="255"/>
      <c r="B37" s="257" t="s">
        <v>67</v>
      </c>
      <c r="C37" s="258"/>
      <c r="D37" s="258"/>
      <c r="E37" s="258"/>
      <c r="F37" s="258"/>
      <c r="G37" s="258"/>
      <c r="H37" s="258"/>
    </row>
    <row r="38" spans="1:8" ht="15" customHeight="1">
      <c r="A38" s="256"/>
      <c r="B38" s="266" t="s">
        <v>201</v>
      </c>
      <c r="C38" s="266" t="s">
        <v>31</v>
      </c>
      <c r="D38" s="266" t="s">
        <v>203</v>
      </c>
      <c r="E38" s="266" t="s">
        <v>32</v>
      </c>
      <c r="F38" s="266" t="s">
        <v>205</v>
      </c>
      <c r="G38" s="268" t="s">
        <v>284</v>
      </c>
      <c r="H38" s="268" t="s">
        <v>206</v>
      </c>
    </row>
    <row r="39" spans="1:8" ht="73.5" customHeight="1">
      <c r="A39" s="265"/>
      <c r="B39" s="267"/>
      <c r="C39" s="267"/>
      <c r="D39" s="267"/>
      <c r="E39" s="267"/>
      <c r="F39" s="267"/>
      <c r="G39" s="269"/>
      <c r="H39" s="269"/>
    </row>
    <row r="40" spans="1:8" ht="14.1" customHeight="1">
      <c r="A40" s="150" t="s">
        <v>241</v>
      </c>
      <c r="B40" s="129">
        <f>B35</f>
        <v>3707</v>
      </c>
      <c r="C40" s="129">
        <f>C35</f>
        <v>38412</v>
      </c>
      <c r="D40" s="130" t="s">
        <v>208</v>
      </c>
      <c r="E40" s="129">
        <f>E35</f>
        <v>25455</v>
      </c>
      <c r="F40" s="129">
        <f>E40</f>
        <v>25455</v>
      </c>
      <c r="G40" s="130" t="s">
        <v>240</v>
      </c>
      <c r="H40" s="131">
        <f>SUM(B40:E40)</f>
        <v>67574</v>
      </c>
    </row>
    <row r="41" spans="1:8" ht="14.1" hidden="1" customHeight="1">
      <c r="A41" s="132" t="s">
        <v>209</v>
      </c>
      <c r="B41" s="129" t="s">
        <v>210</v>
      </c>
      <c r="C41" s="129" t="s">
        <v>121</v>
      </c>
      <c r="D41" s="130" t="s">
        <v>211</v>
      </c>
      <c r="E41" s="129" t="s">
        <v>212</v>
      </c>
      <c r="F41" s="129" t="s">
        <v>212</v>
      </c>
      <c r="G41" s="130" t="s">
        <v>212</v>
      </c>
      <c r="H41" s="131" t="s">
        <v>212</v>
      </c>
    </row>
    <row r="42" spans="1:8" ht="14.1" customHeight="1">
      <c r="A42" s="132" t="s">
        <v>242</v>
      </c>
      <c r="B42" s="129">
        <f>B40</f>
        <v>3707</v>
      </c>
      <c r="C42" s="129">
        <f>C40</f>
        <v>38412</v>
      </c>
      <c r="D42" s="130" t="s">
        <v>211</v>
      </c>
      <c r="E42" s="129">
        <f>E40</f>
        <v>25455</v>
      </c>
      <c r="F42" s="129">
        <f>F40</f>
        <v>25455</v>
      </c>
      <c r="G42" s="130" t="s">
        <v>240</v>
      </c>
      <c r="H42" s="131">
        <f>H40</f>
        <v>67574</v>
      </c>
    </row>
    <row r="43" spans="1:8" ht="14.1" customHeight="1">
      <c r="A43" s="132" t="s">
        <v>214</v>
      </c>
      <c r="B43" s="129" t="s">
        <v>212</v>
      </c>
      <c r="C43" s="129" t="s">
        <v>212</v>
      </c>
      <c r="D43" s="130" t="s">
        <v>212</v>
      </c>
      <c r="E43" s="129">
        <f>RZIS_j!C70</f>
        <v>-2627</v>
      </c>
      <c r="F43" s="129">
        <f>E43</f>
        <v>-2627</v>
      </c>
      <c r="G43" s="130" t="s">
        <v>240</v>
      </c>
      <c r="H43" s="131">
        <f>SUM(B43:E43)</f>
        <v>-2627</v>
      </c>
    </row>
    <row r="44" spans="1:8" ht="14.1" hidden="1" customHeight="1">
      <c r="A44" s="132" t="s">
        <v>215</v>
      </c>
      <c r="B44" s="130" t="s">
        <v>121</v>
      </c>
      <c r="C44" s="130" t="s">
        <v>121</v>
      </c>
      <c r="D44" s="130" t="s">
        <v>121</v>
      </c>
      <c r="E44" s="130" t="s">
        <v>212</v>
      </c>
      <c r="F44" s="130" t="s">
        <v>212</v>
      </c>
      <c r="G44" s="130" t="s">
        <v>212</v>
      </c>
      <c r="H44" s="142" t="s">
        <v>212</v>
      </c>
    </row>
    <row r="45" spans="1:8" ht="14.1" customHeight="1">
      <c r="A45" s="134" t="s">
        <v>216</v>
      </c>
      <c r="B45" s="135" t="s">
        <v>212</v>
      </c>
      <c r="C45" s="135" t="s">
        <v>212</v>
      </c>
      <c r="D45" s="135" t="s">
        <v>212</v>
      </c>
      <c r="E45" s="136">
        <f>E43</f>
        <v>-2627</v>
      </c>
      <c r="F45" s="136">
        <f>F43</f>
        <v>-2627</v>
      </c>
      <c r="G45" s="135" t="s">
        <v>240</v>
      </c>
      <c r="H45" s="151">
        <f>SUM(B45:E45)</f>
        <v>-2627</v>
      </c>
    </row>
    <row r="46" spans="1:8" ht="14.1" hidden="1" customHeight="1">
      <c r="A46" s="132" t="s">
        <v>217</v>
      </c>
      <c r="B46" s="130" t="s">
        <v>212</v>
      </c>
      <c r="C46" s="130" t="s">
        <v>212</v>
      </c>
      <c r="D46" s="130" t="s">
        <v>212</v>
      </c>
      <c r="E46" s="130" t="s">
        <v>219</v>
      </c>
      <c r="F46" s="130" t="s">
        <v>219</v>
      </c>
      <c r="G46" s="130" t="s">
        <v>219</v>
      </c>
      <c r="H46" s="142" t="s">
        <v>219</v>
      </c>
    </row>
    <row r="47" spans="1:8" ht="14.1" hidden="1" customHeight="1">
      <c r="A47" s="132" t="s">
        <v>220</v>
      </c>
      <c r="B47" s="130" t="s">
        <v>212</v>
      </c>
      <c r="C47" s="130" t="s">
        <v>212</v>
      </c>
      <c r="D47" s="130" t="s">
        <v>212</v>
      </c>
      <c r="E47" s="152">
        <v>0</v>
      </c>
      <c r="F47" s="152">
        <v>0</v>
      </c>
      <c r="G47" s="130" t="s">
        <v>212</v>
      </c>
      <c r="H47" s="142" t="s">
        <v>212</v>
      </c>
    </row>
    <row r="48" spans="1:8" ht="14.1" customHeight="1">
      <c r="A48" s="139" t="s">
        <v>243</v>
      </c>
      <c r="B48" s="140">
        <f>B42</f>
        <v>3707</v>
      </c>
      <c r="C48" s="140">
        <f>C42</f>
        <v>38412</v>
      </c>
      <c r="D48" s="140" t="s">
        <v>222</v>
      </c>
      <c r="E48" s="140">
        <f>E42+E45+E47</f>
        <v>22828</v>
      </c>
      <c r="F48" s="140">
        <f>F42+F45+F47</f>
        <v>22828</v>
      </c>
      <c r="G48" s="140" t="s">
        <v>240</v>
      </c>
      <c r="H48" s="141">
        <f>SUM(B48:E48)</f>
        <v>64947</v>
      </c>
    </row>
    <row r="49" spans="1:8" ht="14.1" hidden="1" customHeight="1">
      <c r="A49" s="227" t="s">
        <v>214</v>
      </c>
      <c r="B49" s="228" t="s">
        <v>212</v>
      </c>
      <c r="C49" s="228" t="s">
        <v>212</v>
      </c>
      <c r="D49" s="229" t="s">
        <v>212</v>
      </c>
      <c r="E49" s="228" t="s">
        <v>212</v>
      </c>
      <c r="F49" s="228" t="s">
        <v>212</v>
      </c>
      <c r="G49" s="229" t="s">
        <v>212</v>
      </c>
      <c r="H49" s="230" t="s">
        <v>212</v>
      </c>
    </row>
    <row r="50" spans="1:8" ht="14.1" hidden="1" customHeight="1">
      <c r="A50" s="213" t="s">
        <v>215</v>
      </c>
      <c r="B50" s="214" t="s">
        <v>212</v>
      </c>
      <c r="C50" s="214" t="s">
        <v>212</v>
      </c>
      <c r="D50" s="214" t="s">
        <v>212</v>
      </c>
      <c r="E50" s="214" t="s">
        <v>212</v>
      </c>
      <c r="F50" s="214" t="s">
        <v>212</v>
      </c>
      <c r="G50" s="214" t="s">
        <v>212</v>
      </c>
      <c r="H50" s="215" t="s">
        <v>212</v>
      </c>
    </row>
    <row r="51" spans="1:8" ht="14.1" hidden="1" customHeight="1">
      <c r="A51" s="213" t="s">
        <v>216</v>
      </c>
      <c r="B51" s="214" t="s">
        <v>212</v>
      </c>
      <c r="C51" s="214" t="s">
        <v>212</v>
      </c>
      <c r="D51" s="214" t="s">
        <v>212</v>
      </c>
      <c r="E51" s="214" t="s">
        <v>212</v>
      </c>
      <c r="F51" s="214" t="s">
        <v>212</v>
      </c>
      <c r="G51" s="214" t="s">
        <v>212</v>
      </c>
      <c r="H51" s="215" t="s">
        <v>212</v>
      </c>
    </row>
    <row r="52" spans="1:8" ht="14.1" customHeight="1">
      <c r="A52" s="139" t="s">
        <v>215</v>
      </c>
      <c r="B52" s="153" t="s">
        <v>121</v>
      </c>
      <c r="C52" s="153" t="s">
        <v>121</v>
      </c>
      <c r="D52" s="153" t="s">
        <v>121</v>
      </c>
      <c r="E52" s="153" t="s">
        <v>121</v>
      </c>
      <c r="F52" s="153" t="s">
        <v>121</v>
      </c>
      <c r="G52" s="153" t="s">
        <v>121</v>
      </c>
      <c r="H52" s="154" t="s">
        <v>121</v>
      </c>
    </row>
    <row r="53" spans="1:8" ht="14.1" hidden="1" customHeight="1">
      <c r="A53" s="132" t="s">
        <v>217</v>
      </c>
      <c r="B53" s="130" t="s">
        <v>121</v>
      </c>
      <c r="C53" s="130" t="s">
        <v>121</v>
      </c>
      <c r="D53" s="130" t="s">
        <v>121</v>
      </c>
      <c r="E53" s="130" t="s">
        <v>121</v>
      </c>
      <c r="F53" s="130" t="s">
        <v>121</v>
      </c>
      <c r="G53" s="130" t="s">
        <v>121</v>
      </c>
      <c r="H53" s="142" t="s">
        <v>121</v>
      </c>
    </row>
    <row r="54" spans="1:8" ht="14.1" hidden="1" customHeight="1">
      <c r="A54" s="132" t="s">
        <v>224</v>
      </c>
      <c r="B54" s="130" t="s">
        <v>121</v>
      </c>
      <c r="C54" s="130" t="s">
        <v>121</v>
      </c>
      <c r="D54" s="130" t="s">
        <v>121</v>
      </c>
      <c r="E54" s="130" t="s">
        <v>121</v>
      </c>
      <c r="F54" s="130" t="s">
        <v>121</v>
      </c>
      <c r="G54" s="130" t="s">
        <v>121</v>
      </c>
      <c r="H54" s="142" t="s">
        <v>121</v>
      </c>
    </row>
    <row r="55" spans="1:8" ht="14.1" hidden="1" customHeight="1">
      <c r="A55" s="132" t="s">
        <v>225</v>
      </c>
      <c r="B55" s="130" t="s">
        <v>121</v>
      </c>
      <c r="C55" s="130" t="s">
        <v>121</v>
      </c>
      <c r="D55" s="130" t="s">
        <v>121</v>
      </c>
      <c r="E55" s="130" t="s">
        <v>121</v>
      </c>
      <c r="F55" s="130" t="s">
        <v>121</v>
      </c>
      <c r="G55" s="130" t="s">
        <v>121</v>
      </c>
      <c r="H55" s="142" t="str">
        <f>E55</f>
        <v>-</v>
      </c>
    </row>
    <row r="56" spans="1:8" ht="14.1" hidden="1" customHeight="1">
      <c r="A56" s="132" t="s">
        <v>226</v>
      </c>
      <c r="B56" s="130" t="s">
        <v>121</v>
      </c>
      <c r="C56" s="130" t="s">
        <v>121</v>
      </c>
      <c r="D56" s="130" t="s">
        <v>121</v>
      </c>
      <c r="E56" s="130" t="s">
        <v>121</v>
      </c>
      <c r="F56" s="130" t="s">
        <v>121</v>
      </c>
      <c r="G56" s="130" t="s">
        <v>121</v>
      </c>
      <c r="H56" s="142" t="s">
        <v>121</v>
      </c>
    </row>
    <row r="57" spans="1:8" ht="14.1" hidden="1" customHeight="1">
      <c r="A57" s="132" t="s">
        <v>227</v>
      </c>
      <c r="B57" s="130" t="s">
        <v>121</v>
      </c>
      <c r="C57" s="130" t="s">
        <v>121</v>
      </c>
      <c r="D57" s="130" t="s">
        <v>121</v>
      </c>
      <c r="E57" s="130" t="s">
        <v>121</v>
      </c>
      <c r="F57" s="130" t="s">
        <v>121</v>
      </c>
      <c r="G57" s="130" t="s">
        <v>121</v>
      </c>
      <c r="H57" s="142" t="s">
        <v>121</v>
      </c>
    </row>
    <row r="58" spans="1:8" ht="14.1" hidden="1" customHeight="1">
      <c r="A58" s="132" t="s">
        <v>228</v>
      </c>
      <c r="B58" s="130" t="s">
        <v>121</v>
      </c>
      <c r="C58" s="130" t="s">
        <v>121</v>
      </c>
      <c r="D58" s="130" t="s">
        <v>121</v>
      </c>
      <c r="E58" s="130" t="s">
        <v>121</v>
      </c>
      <c r="F58" s="130" t="s">
        <v>121</v>
      </c>
      <c r="G58" s="130" t="s">
        <v>121</v>
      </c>
      <c r="H58" s="142" t="s">
        <v>121</v>
      </c>
    </row>
    <row r="59" spans="1:8" ht="14.1" hidden="1" customHeight="1">
      <c r="A59" s="132" t="s">
        <v>229</v>
      </c>
      <c r="B59" s="130" t="s">
        <v>121</v>
      </c>
      <c r="C59" s="130" t="s">
        <v>121</v>
      </c>
      <c r="D59" s="130" t="s">
        <v>121</v>
      </c>
      <c r="E59" s="130" t="s">
        <v>121</v>
      </c>
      <c r="F59" s="130" t="s">
        <v>121</v>
      </c>
      <c r="G59" s="130" t="s">
        <v>121</v>
      </c>
      <c r="H59" s="142" t="s">
        <v>121</v>
      </c>
    </row>
    <row r="60" spans="1:8" ht="14.1" hidden="1" customHeight="1">
      <c r="A60" s="132" t="s">
        <v>230</v>
      </c>
      <c r="B60" s="130" t="s">
        <v>121</v>
      </c>
      <c r="C60" s="130" t="s">
        <v>121</v>
      </c>
      <c r="D60" s="130" t="s">
        <v>121</v>
      </c>
      <c r="E60" s="130" t="s">
        <v>121</v>
      </c>
      <c r="F60" s="130" t="s">
        <v>121</v>
      </c>
      <c r="G60" s="130" t="s">
        <v>121</v>
      </c>
      <c r="H60" s="142" t="s">
        <v>121</v>
      </c>
    </row>
    <row r="61" spans="1:8" ht="14.1" hidden="1" customHeight="1">
      <c r="A61" s="132" t="s">
        <v>231</v>
      </c>
      <c r="B61" s="130" t="s">
        <v>121</v>
      </c>
      <c r="C61" s="130" t="s">
        <v>121</v>
      </c>
      <c r="D61" s="130" t="s">
        <v>121</v>
      </c>
      <c r="E61" s="130" t="s">
        <v>121</v>
      </c>
      <c r="F61" s="130" t="s">
        <v>121</v>
      </c>
      <c r="G61" s="130" t="s">
        <v>121</v>
      </c>
      <c r="H61" s="142" t="s">
        <v>121</v>
      </c>
    </row>
    <row r="62" spans="1:8" ht="14.1" hidden="1" customHeight="1">
      <c r="A62" s="132" t="s">
        <v>232</v>
      </c>
      <c r="B62" s="130" t="s">
        <v>121</v>
      </c>
      <c r="C62" s="129" t="s">
        <v>121</v>
      </c>
      <c r="D62" s="130" t="s">
        <v>121</v>
      </c>
      <c r="E62" s="130" t="s">
        <v>121</v>
      </c>
      <c r="F62" s="130" t="s">
        <v>121</v>
      </c>
      <c r="G62" s="225" t="s">
        <v>121</v>
      </c>
      <c r="H62" s="129" t="s">
        <v>121</v>
      </c>
    </row>
    <row r="63" spans="1:8" ht="14.1" hidden="1" customHeight="1">
      <c r="A63" s="132" t="s">
        <v>287</v>
      </c>
      <c r="B63" s="130" t="s">
        <v>121</v>
      </c>
      <c r="C63" s="129" t="s">
        <v>121</v>
      </c>
      <c r="D63" s="130" t="s">
        <v>121</v>
      </c>
      <c r="E63" s="130" t="s">
        <v>121</v>
      </c>
      <c r="F63" s="130" t="s">
        <v>121</v>
      </c>
      <c r="G63" s="225" t="s">
        <v>121</v>
      </c>
      <c r="H63" s="129" t="s">
        <v>121</v>
      </c>
    </row>
    <row r="64" spans="1:8" ht="14.1" customHeight="1">
      <c r="A64" s="132" t="s">
        <v>234</v>
      </c>
      <c r="B64" s="130" t="s">
        <v>121</v>
      </c>
      <c r="C64" s="130" t="s">
        <v>121</v>
      </c>
      <c r="D64" s="130" t="s">
        <v>121</v>
      </c>
      <c r="E64" s="129">
        <v>-6164</v>
      </c>
      <c r="F64" s="129">
        <v>-6164</v>
      </c>
      <c r="G64" s="225" t="s">
        <v>240</v>
      </c>
      <c r="H64" s="129">
        <f>SUM(B64:E64)</f>
        <v>-6164</v>
      </c>
    </row>
    <row r="65" spans="1:8" ht="14.1" hidden="1" customHeight="1">
      <c r="A65" s="132" t="s">
        <v>235</v>
      </c>
      <c r="B65" s="130" t="s">
        <v>121</v>
      </c>
      <c r="C65" s="130" t="s">
        <v>121</v>
      </c>
      <c r="D65" s="130" t="s">
        <v>121</v>
      </c>
      <c r="E65" s="129" t="s">
        <v>121</v>
      </c>
      <c r="F65" s="129" t="s">
        <v>121</v>
      </c>
      <c r="G65" s="225" t="s">
        <v>240</v>
      </c>
      <c r="H65" s="129" t="s">
        <v>121</v>
      </c>
    </row>
    <row r="66" spans="1:8" ht="14.1" hidden="1" customHeight="1">
      <c r="A66" s="132" t="s">
        <v>220</v>
      </c>
      <c r="B66" s="130" t="s">
        <v>121</v>
      </c>
      <c r="C66" s="130" t="s">
        <v>121</v>
      </c>
      <c r="D66" s="130" t="s">
        <v>121</v>
      </c>
      <c r="E66" s="130" t="s">
        <v>121</v>
      </c>
      <c r="F66" s="130" t="s">
        <v>121</v>
      </c>
      <c r="G66" s="225" t="s">
        <v>240</v>
      </c>
      <c r="H66" s="129" t="s">
        <v>121</v>
      </c>
    </row>
    <row r="67" spans="1:8" ht="14.1" customHeight="1">
      <c r="A67" s="159" t="s">
        <v>245</v>
      </c>
      <c r="B67" s="130" t="s">
        <v>121</v>
      </c>
      <c r="C67" s="130" t="s">
        <v>121</v>
      </c>
      <c r="D67" s="130" t="s">
        <v>121</v>
      </c>
      <c r="E67" s="129">
        <v>6164</v>
      </c>
      <c r="F67" s="129">
        <v>6164</v>
      </c>
      <c r="G67" s="225" t="s">
        <v>121</v>
      </c>
      <c r="H67" s="129">
        <f t="shared" ref="H67" si="1">SUM(B67:E67)</f>
        <v>6164</v>
      </c>
    </row>
    <row r="68" spans="1:8" ht="14.1" hidden="1" customHeight="1">
      <c r="A68" s="132" t="s">
        <v>246</v>
      </c>
      <c r="B68" s="130" t="s">
        <v>121</v>
      </c>
      <c r="C68" s="130" t="s">
        <v>121</v>
      </c>
      <c r="D68" s="130" t="s">
        <v>121</v>
      </c>
      <c r="E68" s="130" t="s">
        <v>121</v>
      </c>
      <c r="F68" s="130" t="s">
        <v>121</v>
      </c>
      <c r="G68" s="225" t="s">
        <v>240</v>
      </c>
      <c r="H68" s="158">
        <f>SUM(B68:E68)</f>
        <v>0</v>
      </c>
    </row>
    <row r="69" spans="1:8" ht="14.1" hidden="1" customHeight="1">
      <c r="A69" s="132" t="s">
        <v>238</v>
      </c>
      <c r="B69" s="130" t="s">
        <v>121</v>
      </c>
      <c r="C69" s="130" t="s">
        <v>121</v>
      </c>
      <c r="D69" s="130" t="s">
        <v>121</v>
      </c>
      <c r="E69" s="129" t="s">
        <v>121</v>
      </c>
      <c r="F69" s="129" t="s">
        <v>121</v>
      </c>
      <c r="G69" s="231" t="s">
        <v>121</v>
      </c>
      <c r="H69" s="129" t="s">
        <v>121</v>
      </c>
    </row>
    <row r="70" spans="1:8" ht="14.1" customHeight="1">
      <c r="A70" s="145" t="s">
        <v>247</v>
      </c>
      <c r="B70" s="146">
        <f>SUM(B48:B69)</f>
        <v>3707</v>
      </c>
      <c r="C70" s="146">
        <f>SUM(C48:C69)</f>
        <v>38412</v>
      </c>
      <c r="D70" s="147" t="s">
        <v>240</v>
      </c>
      <c r="E70" s="146">
        <f>SUM(E48:E69)</f>
        <v>22828</v>
      </c>
      <c r="F70" s="146">
        <f>SUM(F48:F69)</f>
        <v>22828</v>
      </c>
      <c r="G70" s="147" t="s">
        <v>240</v>
      </c>
      <c r="H70" s="148">
        <f>H48+H64+H67</f>
        <v>64947</v>
      </c>
    </row>
    <row r="71" spans="1:8" ht="9" customHeight="1"/>
    <row r="72" spans="1:8" ht="30" customHeight="1"/>
    <row r="73" spans="1:8" ht="21" customHeight="1">
      <c r="A73" s="125"/>
    </row>
    <row r="74" spans="1:8" ht="13.5" customHeight="1"/>
    <row r="75" spans="1:8">
      <c r="A75" s="125"/>
    </row>
    <row r="78" spans="1:8" ht="29.65" customHeight="1"/>
    <row r="79" spans="1:8">
      <c r="A79" s="4" t="s">
        <v>64</v>
      </c>
    </row>
  </sheetData>
  <mergeCells count="20">
    <mergeCell ref="A1:H1"/>
    <mergeCell ref="A2:A4"/>
    <mergeCell ref="B2:H2"/>
    <mergeCell ref="B3:B4"/>
    <mergeCell ref="C3:C4"/>
    <mergeCell ref="D3:D4"/>
    <mergeCell ref="E3:E4"/>
    <mergeCell ref="F3:F4"/>
    <mergeCell ref="G3:G4"/>
    <mergeCell ref="H3:H4"/>
    <mergeCell ref="A36:H36"/>
    <mergeCell ref="A37:A39"/>
    <mergeCell ref="B37:H37"/>
    <mergeCell ref="B38:B39"/>
    <mergeCell ref="C38:C39"/>
    <mergeCell ref="D38:D39"/>
    <mergeCell ref="E38:E39"/>
    <mergeCell ref="F38:F39"/>
    <mergeCell ref="G38:G39"/>
    <mergeCell ref="H38:H39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&amp;L&amp;"Lato Light,Standardowy"&amp;8&amp;KE73E2ARoczne jednostkowe sprawozdanie finansowe Ailleron SA za okres od 1 stycznia 2020 r. do 31 grudnia 2020 r
(wszystkie kwoty podano w tys.PLN, o ile nie wskazano inaczej)</oddHeader>
    <oddFooter>&amp;C&amp;P</oddFooter>
  </headerFooter>
  <rowBreaks count="1" manualBreakCount="1">
    <brk id="3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8</vt:i4>
      </vt:variant>
    </vt:vector>
  </HeadingPairs>
  <TitlesOfParts>
    <vt:vector size="16" baseType="lpstr">
      <vt:lpstr>Bilans_s</vt:lpstr>
      <vt:lpstr>RZIS_s</vt:lpstr>
      <vt:lpstr>CF_s</vt:lpstr>
      <vt:lpstr>ZZKW_s</vt:lpstr>
      <vt:lpstr>Bilans_j</vt:lpstr>
      <vt:lpstr>RZIS_j</vt:lpstr>
      <vt:lpstr>CF_j</vt:lpstr>
      <vt:lpstr>ZZKW_j</vt:lpstr>
      <vt:lpstr>Bilans_j!Obszar_wydruku</vt:lpstr>
      <vt:lpstr>Bilans_s!Obszar_wydruku</vt:lpstr>
      <vt:lpstr>CF_j!Obszar_wydruku</vt:lpstr>
      <vt:lpstr>CF_s!Obszar_wydruku</vt:lpstr>
      <vt:lpstr>RZIS_j!Obszar_wydruku</vt:lpstr>
      <vt:lpstr>RZIS_s!Obszar_wydruku</vt:lpstr>
      <vt:lpstr>ZZKW_j!Obszar_wydruku</vt:lpstr>
      <vt:lpstr>ZZKW_s!Obszar_wydruku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Sobczyk</dc:creator>
  <cp:lastModifiedBy>Małgorzata Sobczyk</cp:lastModifiedBy>
  <dcterms:created xsi:type="dcterms:W3CDTF">2015-06-05T18:19:34Z</dcterms:created>
  <dcterms:modified xsi:type="dcterms:W3CDTF">2021-09-06T14:05:26Z</dcterms:modified>
</cp:coreProperties>
</file>