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3_Y/wspólne_pliki_final_doc_pdf_xhtml_2023/"/>
    </mc:Choice>
  </mc:AlternateContent>
  <xr:revisionPtr revIDLastSave="11" documentId="11_D411115C76838B0143BF7E0068996CC05389B686" xr6:coauthVersionLast="47" xr6:coauthVersionMax="47" xr10:uidLastSave="{4F6F713B-9C38-4453-BE9D-210BF1732E1D}"/>
  <bookViews>
    <workbookView xWindow="-120" yWindow="-120" windowWidth="29040" windowHeight="15840" activeTab="2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Bilans_j" sheetId="7" r:id="rId6"/>
    <sheet name="RZIS_j" sheetId="8" r:id="rId7"/>
    <sheet name="SSCD_j" sheetId="9" r:id="rId8"/>
    <sheet name="CF_j" sheetId="10" r:id="rId9"/>
    <sheet name="ZZKW_j" sheetId="11" r:id="rId10"/>
  </sheets>
  <externalReferences>
    <externalReference r:id="rId11"/>
    <externalReference r:id="rId12"/>
  </externalReference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thinkcell.yD4.px3yUa9TCp8l4vsew" hidden="1">#REF!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 localSheetId="6">#REF!</definedName>
    <definedName name="_R1_Nieodlaczne" localSheetId="7">#REF!</definedName>
    <definedName name="_R1_Nieodlaczne">#REF!</definedName>
    <definedName name="_R2_Kontrolwewn" localSheetId="6">#REF!</definedName>
    <definedName name="_R2_Kontrolwewn" localSheetId="7">#REF!</definedName>
    <definedName name="_R2_Kontrolwewn">#REF!</definedName>
    <definedName name="_R3_Analityczne" localSheetId="6">#REF!</definedName>
    <definedName name="_R3_Analityczne" localSheetId="7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 localSheetId="3">#REF!,#REF!,#REF!,#REF!,#REF!,#REF!,#REF!,#REF!,#REF!</definedName>
    <definedName name="aa" localSheetId="1">#REF!,#REF!,#REF!,#REF!,#REF!,#REF!,#REF!,#REF!,#REF!</definedName>
    <definedName name="aa" localSheetId="2">#REF!,#REF!,#REF!,#REF!,#REF!,#REF!,#REF!,#REF!,#REF!</definedName>
    <definedName name="aa" localSheetId="4">#REF!,#REF!,#REF!,#REF!,#REF!,#REF!,#REF!,#REF!,#REF!</definedName>
    <definedName name="aa">#REF!,#REF!,#REF!,#REF!,#REF!,#REF!,#REF!,#REF!,#REF!</definedName>
    <definedName name="aaa" localSheetId="6">#REF!</definedName>
    <definedName name="aaa" localSheetId="7">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 localSheetId="7">[1]WSTĘP!$IU$9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 localSheetId="6">#REF!</definedName>
    <definedName name="bbb" localSheetId="7">#REF!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 localSheetId="6">#REF!</definedName>
    <definedName name="COP" localSheetId="7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 localSheetId="3">#REF!,#REF!,#REF!,#REF!,#REF!,#REF!,#REF!,#REF!,#REF!,#REF!,#REF!,#REF!,#REF!</definedName>
    <definedName name="mm" localSheetId="1">#REF!,#REF!,#REF!,#REF!,#REF!,#REF!,#REF!,#REF!,#REF!,#REF!,#REF!,#REF!,#REF!</definedName>
    <definedName name="mm" localSheetId="2">#REF!,#REF!,#REF!,#REF!,#REF!,#REF!,#REF!,#REF!,#REF!,#REF!,#REF!,#REF!,#REF!</definedName>
    <definedName name="mm" localSheetId="4">#REF!,#REF!,#REF!,#REF!,#REF!,#REF!,#REF!,#REF!,#REF!,#REF!,#REF!,#REF!,#REF!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 localSheetId="6">#REF!</definedName>
    <definedName name="n" localSheetId="7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_xlnm.Print_Area" localSheetId="5">Bilans_j!$A$1:$D$55</definedName>
    <definedName name="_xlnm.Print_Area" localSheetId="0">Bilans_s!$A$1:$D$64</definedName>
    <definedName name="_xlnm.Print_Area" localSheetId="8">CF_j!$A$1:$C$66</definedName>
    <definedName name="_xlnm.Print_Area" localSheetId="3">CF_s!$A$1:$C$63</definedName>
    <definedName name="_xlnm.Print_Area" localSheetId="6">RZIS_j!$A$1:$D$63</definedName>
    <definedName name="_xlnm.Print_Area" localSheetId="1">RZIS_s!$A$1:$D$49</definedName>
    <definedName name="_xlnm.Print_Area" localSheetId="7">SSCD_j!$A$1:$D$21</definedName>
    <definedName name="_xlnm.Print_Area" localSheetId="2">SSCD_s!$A$1:$D$23</definedName>
    <definedName name="_xlnm.Print_Area" localSheetId="9">ZZKW_j!$A$1:$F$26</definedName>
    <definedName name="_xlnm.Print_Area" localSheetId="4">ZZKW_s!$A$1:$I$36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1" l="1"/>
  <c r="C19" i="11"/>
  <c r="F18" i="11"/>
  <c r="F17" i="11"/>
  <c r="D16" i="11"/>
  <c r="C16" i="11"/>
  <c r="B16" i="11"/>
  <c r="F15" i="11"/>
  <c r="B11" i="11"/>
  <c r="B13" i="11" s="1"/>
  <c r="D10" i="11"/>
  <c r="D11" i="11" s="1"/>
  <c r="D13" i="11" s="1"/>
  <c r="D20" i="11" s="1"/>
  <c r="B10" i="11"/>
  <c r="F9" i="11"/>
  <c r="F8" i="11"/>
  <c r="D7" i="11"/>
  <c r="C7" i="11"/>
  <c r="C10" i="11" s="1"/>
  <c r="B7" i="11"/>
  <c r="F6" i="11"/>
  <c r="F4" i="11"/>
  <c r="C55" i="10"/>
  <c r="B55" i="10"/>
  <c r="C47" i="10"/>
  <c r="B39" i="10"/>
  <c r="B47" i="10" s="1"/>
  <c r="C33" i="10"/>
  <c r="B33" i="10"/>
  <c r="B22" i="10"/>
  <c r="B12" i="10"/>
  <c r="C7" i="10"/>
  <c r="C6" i="10" s="1"/>
  <c r="D7" i="9"/>
  <c r="C7" i="9"/>
  <c r="D36" i="8"/>
  <c r="C36" i="8"/>
  <c r="D30" i="8"/>
  <c r="D28" i="8"/>
  <c r="C28" i="8"/>
  <c r="C29" i="8" s="1"/>
  <c r="C30" i="8" s="1"/>
  <c r="C22" i="8"/>
  <c r="C21" i="8" s="1"/>
  <c r="B7" i="10" s="1"/>
  <c r="B6" i="10" s="1"/>
  <c r="D11" i="8"/>
  <c r="D16" i="8" s="1"/>
  <c r="D19" i="8" s="1"/>
  <c r="D24" i="8" s="1"/>
  <c r="C8" i="8"/>
  <c r="C5" i="8"/>
  <c r="C11" i="8" s="1"/>
  <c r="C16" i="8" s="1"/>
  <c r="C19" i="8" s="1"/>
  <c r="C24" i="8" s="1"/>
  <c r="D43" i="7"/>
  <c r="C43" i="7"/>
  <c r="D38" i="7"/>
  <c r="C38" i="7"/>
  <c r="C37" i="7" s="1"/>
  <c r="D37" i="7"/>
  <c r="D32" i="7"/>
  <c r="D53" i="7" s="1"/>
  <c r="C32" i="7"/>
  <c r="D31" i="7"/>
  <c r="C31" i="7"/>
  <c r="D15" i="7"/>
  <c r="D26" i="7" s="1"/>
  <c r="C15" i="7"/>
  <c r="D8" i="7"/>
  <c r="C8" i="7"/>
  <c r="C26" i="7" s="1"/>
  <c r="F26" i="6"/>
  <c r="C26" i="6"/>
  <c r="G25" i="6"/>
  <c r="I25" i="6" s="1"/>
  <c r="I24" i="6"/>
  <c r="G24" i="6"/>
  <c r="H23" i="6"/>
  <c r="G23" i="6"/>
  <c r="I23" i="6" s="1"/>
  <c r="E23" i="6"/>
  <c r="I22" i="6"/>
  <c r="H21" i="6"/>
  <c r="H26" i="6" s="1"/>
  <c r="F21" i="6"/>
  <c r="E21" i="6"/>
  <c r="E26" i="6" s="1"/>
  <c r="D21" i="6"/>
  <c r="D26" i="6" s="1"/>
  <c r="C21" i="6"/>
  <c r="B21" i="6"/>
  <c r="B26" i="6" s="1"/>
  <c r="I20" i="6"/>
  <c r="G20" i="6"/>
  <c r="H19" i="6"/>
  <c r="E19" i="6"/>
  <c r="G19" i="6" s="1"/>
  <c r="I17" i="6"/>
  <c r="G17" i="6"/>
  <c r="E17" i="6"/>
  <c r="G12" i="6"/>
  <c r="I12" i="6" s="1"/>
  <c r="G11" i="6"/>
  <c r="I11" i="6" s="1"/>
  <c r="I10" i="6"/>
  <c r="I9" i="6"/>
  <c r="G9" i="6"/>
  <c r="I8" i="6"/>
  <c r="F7" i="6"/>
  <c r="F13" i="6" s="1"/>
  <c r="F14" i="6" s="1"/>
  <c r="F16" i="6" s="1"/>
  <c r="F18" i="6" s="1"/>
  <c r="F27" i="6" s="1"/>
  <c r="E7" i="6"/>
  <c r="E13" i="6" s="1"/>
  <c r="E14" i="6" s="1"/>
  <c r="E16" i="6" s="1"/>
  <c r="E18" i="6" s="1"/>
  <c r="E27" i="6" s="1"/>
  <c r="D7" i="6"/>
  <c r="D13" i="6" s="1"/>
  <c r="D14" i="6" s="1"/>
  <c r="D16" i="6" s="1"/>
  <c r="D18" i="6" s="1"/>
  <c r="C7" i="6"/>
  <c r="C13" i="6" s="1"/>
  <c r="C14" i="6" s="1"/>
  <c r="C16" i="6" s="1"/>
  <c r="C18" i="6" s="1"/>
  <c r="C27" i="6" s="1"/>
  <c r="B7" i="6"/>
  <c r="B13" i="6" s="1"/>
  <c r="B14" i="6" s="1"/>
  <c r="B16" i="6" s="1"/>
  <c r="G6" i="6"/>
  <c r="I6" i="6" s="1"/>
  <c r="G5" i="6"/>
  <c r="G7" i="6" s="1"/>
  <c r="E5" i="6"/>
  <c r="I4" i="6"/>
  <c r="C58" i="5"/>
  <c r="B55" i="5"/>
  <c r="B53" i="5"/>
  <c r="B52" i="5"/>
  <c r="B58" i="5" s="1"/>
  <c r="C48" i="5"/>
  <c r="B44" i="5"/>
  <c r="B36" i="5"/>
  <c r="B48" i="5" s="1"/>
  <c r="B24" i="5"/>
  <c r="B23" i="5"/>
  <c r="B22" i="5"/>
  <c r="B20" i="5"/>
  <c r="B19" i="5"/>
  <c r="B18" i="5"/>
  <c r="B16" i="5"/>
  <c r="B15" i="5"/>
  <c r="B14" i="5"/>
  <c r="B13" i="5"/>
  <c r="B12" i="5"/>
  <c r="B10" i="5"/>
  <c r="B8" i="5"/>
  <c r="D7" i="4"/>
  <c r="C7" i="4"/>
  <c r="D3" i="4"/>
  <c r="C3" i="5" s="1"/>
  <c r="C31" i="5" s="1"/>
  <c r="C3" i="4"/>
  <c r="B3" i="5" s="1"/>
  <c r="B31" i="5" s="1"/>
  <c r="C45" i="3"/>
  <c r="C46" i="3" s="1"/>
  <c r="C43" i="3"/>
  <c r="D42" i="3"/>
  <c r="D43" i="3" s="1"/>
  <c r="C42" i="3"/>
  <c r="D35" i="3"/>
  <c r="C35" i="3"/>
  <c r="C30" i="3"/>
  <c r="C29" i="3"/>
  <c r="B7" i="5" s="1"/>
  <c r="D28" i="3"/>
  <c r="D29" i="3" s="1"/>
  <c r="C21" i="3"/>
  <c r="D11" i="3"/>
  <c r="D16" i="3" s="1"/>
  <c r="D19" i="3" s="1"/>
  <c r="C11" i="3"/>
  <c r="C16" i="3" s="1"/>
  <c r="D8" i="3"/>
  <c r="C8" i="3"/>
  <c r="D5" i="3"/>
  <c r="C5" i="3"/>
  <c r="D51" i="2"/>
  <c r="D50" i="2" s="1"/>
  <c r="C50" i="2"/>
  <c r="D43" i="2"/>
  <c r="C43" i="2"/>
  <c r="C42" i="2" s="1"/>
  <c r="D41" i="2"/>
  <c r="D39" i="2"/>
  <c r="C35" i="2"/>
  <c r="D33" i="2"/>
  <c r="C33" i="2"/>
  <c r="D18" i="2"/>
  <c r="C18" i="2"/>
  <c r="D9" i="2"/>
  <c r="D29" i="2" s="1"/>
  <c r="C9" i="2"/>
  <c r="C34" i="2" l="1"/>
  <c r="D42" i="2"/>
  <c r="C29" i="2"/>
  <c r="C62" i="2"/>
  <c r="B21" i="5"/>
  <c r="B6" i="5" s="1"/>
  <c r="C42" i="8"/>
  <c r="C43" i="8" s="1"/>
  <c r="C31" i="8"/>
  <c r="D42" i="8"/>
  <c r="D43" i="8" s="1"/>
  <c r="D31" i="8"/>
  <c r="C11" i="11"/>
  <c r="C13" i="11" s="1"/>
  <c r="C20" i="11" s="1"/>
  <c r="B19" i="11"/>
  <c r="C53" i="7"/>
  <c r="G13" i="6"/>
  <c r="D30" i="3"/>
  <c r="D45" i="3" s="1"/>
  <c r="D46" i="3" s="1"/>
  <c r="D21" i="3"/>
  <c r="C7" i="5" s="1"/>
  <c r="C6" i="5" s="1"/>
  <c r="B18" i="6"/>
  <c r="B27" i="6" s="1"/>
  <c r="G16" i="6"/>
  <c r="D27" i="6"/>
  <c r="G21" i="6"/>
  <c r="I19" i="6"/>
  <c r="C19" i="3"/>
  <c r="C24" i="3" s="1"/>
  <c r="C31" i="3" s="1"/>
  <c r="D35" i="2"/>
  <c r="D37" i="8" l="1"/>
  <c r="E5" i="11"/>
  <c r="C5" i="10"/>
  <c r="C27" i="10" s="1"/>
  <c r="C30" i="10" s="1"/>
  <c r="C56" i="10" s="1"/>
  <c r="C59" i="10" s="1"/>
  <c r="B57" i="10" s="1"/>
  <c r="D38" i="8"/>
  <c r="C38" i="8"/>
  <c r="E14" i="11"/>
  <c r="C37" i="8"/>
  <c r="B5" i="10"/>
  <c r="B27" i="10" s="1"/>
  <c r="B30" i="10" s="1"/>
  <c r="B56" i="10" s="1"/>
  <c r="B20" i="11"/>
  <c r="G18" i="6"/>
  <c r="B5" i="5"/>
  <c r="B25" i="5" s="1"/>
  <c r="B28" i="5" s="1"/>
  <c r="B59" i="5" s="1"/>
  <c r="C4" i="4"/>
  <c r="C8" i="4" s="1"/>
  <c r="C36" i="3"/>
  <c r="D62" i="2"/>
  <c r="D34" i="2"/>
  <c r="G26" i="6"/>
  <c r="I21" i="6"/>
  <c r="I26" i="6" s="1"/>
  <c r="G14" i="6"/>
  <c r="D24" i="3"/>
  <c r="D31" i="3" s="1"/>
  <c r="D45" i="8" l="1"/>
  <c r="D46" i="8" s="1"/>
  <c r="D4" i="9"/>
  <c r="D8" i="9" s="1"/>
  <c r="C4" i="9"/>
  <c r="C8" i="9" s="1"/>
  <c r="C45" i="8"/>
  <c r="C46" i="8" s="1"/>
  <c r="F14" i="11"/>
  <c r="E16" i="11"/>
  <c r="B59" i="10"/>
  <c r="F5" i="11"/>
  <c r="E7" i="11"/>
  <c r="D36" i="3"/>
  <c r="C5" i="5"/>
  <c r="C25" i="5" s="1"/>
  <c r="C28" i="5" s="1"/>
  <c r="C59" i="5" s="1"/>
  <c r="C62" i="5" s="1"/>
  <c r="B60" i="5" s="1"/>
  <c r="D4" i="4"/>
  <c r="D8" i="4" s="1"/>
  <c r="B62" i="5"/>
  <c r="G27" i="6"/>
  <c r="E19" i="11" l="1"/>
  <c r="F19" i="11" s="1"/>
  <c r="F16" i="11"/>
  <c r="E10" i="11"/>
  <c r="F7" i="11"/>
  <c r="D38" i="3"/>
  <c r="H5" i="6" s="1"/>
  <c r="E11" i="11" l="1"/>
  <c r="E13" i="11" s="1"/>
  <c r="F10" i="11"/>
  <c r="F11" i="11" s="1"/>
  <c r="I5" i="6"/>
  <c r="H7" i="6"/>
  <c r="E20" i="11" l="1"/>
  <c r="F13" i="11"/>
  <c r="F20" i="11" s="1"/>
  <c r="H13" i="6"/>
  <c r="I7" i="6"/>
  <c r="H14" i="6" l="1"/>
  <c r="H16" i="6" s="1"/>
  <c r="I13" i="6"/>
  <c r="I14" i="6" s="1"/>
  <c r="H18" i="6" l="1"/>
  <c r="I16" i="6"/>
  <c r="H27" i="6" l="1"/>
  <c r="I18" i="6"/>
  <c r="I27" i="6" s="1"/>
</calcChain>
</file>

<file path=xl/sharedStrings.xml><?xml version="1.0" encoding="utf-8"?>
<sst xmlns="http://schemas.openxmlformats.org/spreadsheetml/2006/main" count="415" uniqueCount="236">
  <si>
    <t xml:space="preserve">SKONSOLIDOWANE  SPRAWOZDANIE FINANSOWE  GRUPY KAPITAŁOWEJ AILLERON SA 
ZA  2023 ROK ZAKOŃCZONY 31/12/2023
</t>
  </si>
  <si>
    <t>SPORZĄDZONE WEDŁUG
MIĘDZYNARODOWYCH STANDARDÓW SPRAWOZDAWCZOŚCI FINANSOWEJ</t>
  </si>
  <si>
    <t>WSZYSTKIE KWOTY PODANO W TYSIĄCACH ZŁOTYCH POLSKICH (TYS. PLN), O ILE NIE WSKAZANO INACZEJ</t>
  </si>
  <si>
    <t>SKONSOLIDOWANE SPRAWOZDANIE Z SYTUACJI FINANSOWEJ NA DZIEŃ 31.12.2023 ROKU</t>
  </si>
  <si>
    <t>AKTYWA</t>
  </si>
  <si>
    <t>nota</t>
  </si>
  <si>
    <t>tys. PLN</t>
  </si>
  <si>
    <t>Stan na 
31/12/2023</t>
  </si>
  <si>
    <t>Stan na 
31/12/2022 (po przekształceniu)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</si>
  <si>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</si>
  <si>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</si>
  <si>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</si>
  <si>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</si>
  <si>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</si>
  <si>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</si>
  <si>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</si>
  <si>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</si>
  <si>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Inne długoterminowe aktywa finansowe</t>
  </si>
  <si>
    <t>AKTYWA OBROTOWE</t>
  </si>
  <si>
    <t>Zapasy</t>
  </si>
  <si>
    <t>Należności z tytułu dostaw i usług</t>
  </si>
  <si>
    <t>Należności krótkoterminowe pozostałe</t>
  </si>
  <si>
    <t>Aktywa kontraktowe</t>
  </si>
  <si>
    <t>6, 21</t>
  </si>
  <si>
    <t>Należności z tytułu bieżącego podatku dochodowego</t>
  </si>
  <si>
    <t>Należności z tytułu innych podatków niż podatek dochodowy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</si>
  <si>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</si>
  <si>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</si>
  <si>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</si>
  <si>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</si>
  <si>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NA DZIEŃ 31.12.2023 ROKU -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</si>
  <si>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</si>
  <si>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</si>
  <si>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</si>
  <si>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</si>
  <si>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</si>
  <si>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</si>
  <si>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</si>
  <si>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</si>
  <si>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</si>
  <si>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</si>
  <si>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</si>
  <si>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>Długoterminowe zobowiązania leasingowe</t>
  </si>
  <si>
    <t>25</t>
  </si>
  <si>
    <t>Pozostałe zobowiązania długoterminowe finansowe</t>
  </si>
  <si>
    <t>Długoterminowe zobowiązania finansowe z tyt. kredytów</t>
  </si>
  <si>
    <t>Pozostałe długoterminowe zobowiązania finansowe</t>
  </si>
  <si>
    <t>27.2</t>
  </si>
  <si>
    <t>Rezerwa na świadczenia emerytalne i podobne</t>
  </si>
  <si>
    <t>Rezerwa z tytułu odroczonego podatku dochodowego</t>
  </si>
  <si>
    <t>Zobowiązania krótkoterminowe</t>
  </si>
  <si>
    <t xml:space="preserve">Zobowiązania z tytułu dostaw i usług </t>
  </si>
  <si>
    <t>Zobowiązania kontraktowe</t>
  </si>
  <si>
    <t>21</t>
  </si>
  <si>
    <t>Krótkoterminowe zobowiązania z tyt. otrzymanych kredytów</t>
  </si>
  <si>
    <t>Krótkoterminowe zobowiązania leasingowe</t>
  </si>
  <si>
    <t>Zobowiązania z tytułu bieżącego podatku dochodowego</t>
  </si>
  <si>
    <t>Zobowiązania z tytułu innych podatków niż podatek dochodowy</t>
  </si>
  <si>
    <t>Rezerwy na świadczenia emerytalne i podobne</t>
  </si>
  <si>
    <t>Rezerwy krótkoterminowe</t>
  </si>
  <si>
    <t>Przychody przyszłych okresów</t>
  </si>
  <si>
    <t>Pozostałe zobowiązania</t>
  </si>
  <si>
    <t>Zobowiązania związane z aktywami trwałymi zaklasyfikowanymi jako przeznaczone do sprzedaży</t>
  </si>
  <si>
    <t>PASYWA RAZEM</t>
  </si>
  <si>
    <t>SKONSOLIDOWANY RACHUNEK ZYSKÓW I STRAT ZA OKRES 01.01.2023 - 31.12.2023</t>
  </si>
  <si>
    <t>SKONSOLIDOWANY RACHUNEK ZYSKÓW I STRAT                                          (Wariant kalkulacyjny)</t>
  </si>
  <si>
    <t>tys.PLN</t>
  </si>
  <si>
    <t>Okres 
zakończony 
31/12/2023</t>
  </si>
  <si>
    <t>Okres 
zakończony 31/12/2022</t>
  </si>
  <si>
    <t>Działalność kontynuowana</t>
  </si>
  <si>
    <t>PRZYCHODY ZE SPRZEDAŻY</t>
  </si>
  <si>
    <t>5, 6</t>
  </si>
  <si>
    <t xml:space="preserve">Przychody ze sprzedaży usług </t>
  </si>
  <si>
    <t>do ukrycia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</si>
  <si>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</si>
  <si>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</si>
  <si>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</si>
  <si>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</si>
  <si>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</si>
  <si>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</si>
  <si>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</si>
  <si>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</si>
  <si>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</si>
  <si>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</si>
  <si>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</si>
  <si>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</si>
  <si>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</si>
  <si>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</si>
  <si>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</si>
  <si>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</si>
  <si>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</si>
  <si>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</si>
  <si>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Przychody ze sprzedaży</t>
  </si>
  <si>
    <t>Koszty operacyjne ogółem</t>
  </si>
  <si>
    <t>Zysk (strata) z działalności operacyjnej</t>
  </si>
  <si>
    <t>Zysk (strata) netto z działalności zaniechanej</t>
  </si>
  <si>
    <t>ZYSK (STRATA) NETTO</t>
  </si>
  <si>
    <t>SKONSOLIDOWANY RACHUNEK ZYSKÓW I STRAT ZA OKRES 01.01.2023 - 31.12.2023 - [C.D.]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</si>
  <si>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</si>
  <si>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</si>
  <si>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</si>
  <si>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</si>
  <si>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</si>
  <si>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</si>
  <si>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</si>
  <si>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</si>
  <si>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zaniechanej:</t>
  </si>
  <si>
    <t>SKONSOLIDOWANE SPRAWOZDANIE Z CAŁKOWITYCH DOCHODÓW 
ZA OKRES 01.01.2023 - 31.12.2023</t>
  </si>
  <si>
    <t>SKONSOLIDOWANE SPRAWOZDANIE Z CAŁKOWITYCH DOCHODÓW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</si>
  <si>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</si>
  <si>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</si>
  <si>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</si>
  <si>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</si>
  <si>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</si>
  <si>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SKONSOLIDOWANE SPRAWOZDANIE Z PRZEPŁYWÓW PIENIĘŻNYCH 
ZA OKRES OD 1 STYCZNIA 2023 DO 31 GRUDNIA 2023 [METODA POŚREDNIA]</t>
  </si>
  <si>
    <t>Przepływy pieniężne z działalności operacyjnej</t>
  </si>
  <si>
    <t>Zysk za rok obrotowy</t>
  </si>
  <si>
    <t>Korekty:</t>
  </si>
  <si>
    <t>Koszt podatku dochodowego ujęty w wyniku</t>
  </si>
  <si>
    <t>Koszty finansowe ujęte w wyniku</t>
  </si>
  <si>
    <t>Przychody z inwestycji ujęte w wyniku</t>
  </si>
  <si>
    <t>Zysk/Strata ze zbycia/zmiany przeznaczenia składników rzeczowych aktywów trwałych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</si>
  <si>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</si>
  <si>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</si>
  <si>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Amortyzacja i umorzenie aktywów trwałych</t>
  </si>
  <si>
    <t>(Dodatnie) / ujemne różnice kursowe netto</t>
  </si>
  <si>
    <t>Pozostałe zmiany</t>
  </si>
  <si>
    <t>Korekta z tyt. progarmu motywacyjnego</t>
  </si>
  <si>
    <t>(Zwiększenie) / zmniejszenie salda należności z tytułu dostaw i usług oraz pozostałych należności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</si>
  <si>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</si>
  <si>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</si>
  <si>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</si>
  <si>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</si>
  <si>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</si>
  <si>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</si>
  <si>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</si>
  <si>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</si>
  <si>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</si>
  <si>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</si>
  <si>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1 STYCZNIA 2023 DO 31 GRUDNIA 2023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</si>
  <si>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</si>
  <si>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</si>
  <si>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</si>
  <si>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</si>
  <si>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</si>
  <si>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</si>
  <si>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</si>
  <si>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Spłata pożyczek wraz z odsetkami od pozostałych jednostek</t>
  </si>
  <si>
    <t>Dywidendy wypłacone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</si>
  <si>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</si>
  <si>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</si>
  <si>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</si>
  <si>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</si>
  <si>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</si>
  <si>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</si>
  <si>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                                   W ZWIĄZKU Z DZIAŁALNOŚCIĄ INWESTYCYJNĄ</t>
  </si>
  <si>
    <t>Przepływy pieniężne z działalności finansowej</t>
  </si>
  <si>
    <t>Nabycie jednostki zależnej</t>
  </si>
  <si>
    <t>Spłata rat kredytowych</t>
  </si>
  <si>
    <t>Spłata odsetek od kredytu</t>
  </si>
  <si>
    <t>Spłata pożyczki</t>
  </si>
  <si>
    <t xml:space="preserve">Zaciągnięcie kredytu </t>
  </si>
  <si>
    <t>Dywidendy wypłacone na rzecz właścicieli</t>
  </si>
  <si>
    <t xml:space="preserve">Spłata zadłużenia z tyt. umów leasingu 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</si>
  <si>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</si>
  <si>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</si>
  <si>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</si>
  <si>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</si>
  <si>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ŚRODKI PIENIĘŻNE I ICH EKWIWALENTY NA KONIEC OKRESU SPRAWOZDAWCZEGO</t>
  </si>
  <si>
    <t>SKONSOLIDOWANE SPRAWOZDANIE ZE ZMIAN W KAPITALE WŁASNYM ZA OKRES SPRAWOZDAWCZY KOŃCZĄCY SIĘ 
31 GRUDNIA 2023 ROKU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</si>
  <si>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</si>
  <si>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</si>
  <si>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</si>
  <si>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</si>
  <si>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</si>
  <si>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 xml:space="preserve">Stan na 1 stycznia 2022 roku </t>
  </si>
  <si>
    <t>Zysk netto za rok obrotowy</t>
  </si>
  <si>
    <t>Pozostałe całkowite dochody za rok obrotowy (netto)</t>
  </si>
  <si>
    <t>Suma całkowitych dochodów</t>
  </si>
  <si>
    <t>Przejęcie jednostek gospodarczych</t>
  </si>
  <si>
    <t>Transakcja z udziałowcami mniejszościowymi</t>
  </si>
  <si>
    <t>Kapitał rezerwowy na program opcyjny</t>
  </si>
  <si>
    <t>Wypłata dywidendy</t>
  </si>
  <si>
    <t>Zmiana kapitałów własnych</t>
  </si>
  <si>
    <t>Stan na 31 grudnia  2022 roku</t>
  </si>
  <si>
    <t>Stan na 1 stycznia 2023 roku ( z poprzedniego sprawozdania)</t>
  </si>
  <si>
    <t xml:space="preserve">Przekształcenia </t>
  </si>
  <si>
    <t>Stan na 1 stycznia 2023 roku (po przekształceniach)</t>
  </si>
  <si>
    <t>Stan na 31 grudnia  2023 roku</t>
  </si>
  <si>
    <t xml:space="preserve">JEDNOSTKOWE  SPRAWOZDANIE FINANSOWE  AILLERON SA 
ZA  2023 ROK ZAKOŃCZONY 31/12/2023
</t>
  </si>
  <si>
    <t>JEDNOSTKOWE SPRAWOZDANIE Z SYTUACJI FINANSOWEJ 
NA DZIEŃ 31.12.2023 ROKU</t>
  </si>
  <si>
    <t>Stan na 31/12/2023</t>
  </si>
  <si>
    <t>Stan na 31/12/2022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</si>
  <si>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</si>
  <si>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</si>
  <si>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</si>
  <si>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Grupa aktywów przeznaczonych do zbycia</t>
  </si>
  <si>
    <t>JEDNOSTKOWE SPRAWOZDANIE Z SYTUACJI FINANSOWEJ 
NA DZIEŃ 31.12.2023 ROKU -C.D.</t>
  </si>
  <si>
    <t>27</t>
  </si>
  <si>
    <t>Inne rezerwy długoterminowe</t>
  </si>
  <si>
    <t>Zobowiązania związane z grupą aktywów przeznaczonych do zbycia</t>
  </si>
  <si>
    <t>JEDNOSTKOWY RACHUNEK ZYSKÓW I STRAT  ZA OKRES 01.01.2023 - 31.12.2023</t>
  </si>
  <si>
    <t>JEDNOSTKOWY RACHUNEK ZYSKÓW I STRAT                                          (Wariant kalkulacyjny)</t>
  </si>
  <si>
    <t>Okres zakończony 31/12/2023</t>
  </si>
  <si>
    <t>Okres zakończony 31/12/2022</t>
  </si>
  <si>
    <t>ZYSK (STRATA) NETTO RAZEM</t>
  </si>
  <si>
    <t>JEDNOSTKOWY RACHUNEK ZYSKÓW I STRAT  ZA OKRES 01.01.2023 - 31.12.2023 - C.D.</t>
  </si>
  <si>
    <t>Zysk (strata) netto:</t>
  </si>
  <si>
    <t>Akcjonariuszom podmiotu dominującego</t>
  </si>
  <si>
    <t>z działalności kontynuowanej i zaniechanej:</t>
  </si>
  <si>
    <t>JEDNOSTKOWE SPRAWOZDANIE Z CAŁKOWITYCH DOCHODÓW 
ZA OKRES 01.01.2023 - 31.12.2023</t>
  </si>
  <si>
    <t>JEDNOSTKOWE SPRAWOZDANIE Z CAŁKOWITYCH DOCHODÓW</t>
  </si>
  <si>
    <t>JEDNOSTKOWE SPRAWOZDANIE Z PRZEPŁYWÓW PIENIĘŻNYCH 
ZA OKRES OD 1 STYCZNIA 2023 DO 31 GRUDNIA 2023 
[METODA POŚREDNIA]</t>
  </si>
  <si>
    <t>Zmiany w kapitale obrotowym:</t>
  </si>
  <si>
    <t>(Zwiększenie) / zmniejszenie aktywów kontraktowych</t>
  </si>
  <si>
    <t>Zmniejszenie salda zobowiązań kontraktowych</t>
  </si>
  <si>
    <t>Korekta z tyt. programu motywacyjnego</t>
  </si>
  <si>
    <t>Zapłacone odsetki</t>
  </si>
  <si>
    <t>JEDNOSTKOWE SPRAWOZDANIE Z PRZEPŁYWÓW PIENIĘŻNYCH 
ZA OKRES OD 1 STYCZNIA 2023 DO 31 GRUDNIA 2023 
[METODA POŚREDNIA] - C.D</t>
  </si>
  <si>
    <t>Wpływy ze sprzedaży aktywów finansowych</t>
  </si>
  <si>
    <t>Spłata należności leasingowych</t>
  </si>
  <si>
    <t>Odsetki otrzymane od subleasingu</t>
  </si>
  <si>
    <t>Spłata pożyczek wraz z odsetkami od jednostek pozostałych</t>
  </si>
  <si>
    <t>Płatności za  aktywa niematerialne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</si>
  <si>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</si>
  <si>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</si>
  <si>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</si>
  <si>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rat kredytowych i pożyczek</t>
  </si>
  <si>
    <t>Spłata odsetek od pożyczek otrzymanych od jednostek zależnych</t>
  </si>
  <si>
    <t>Zaciągnięcie kredytu krótkoterminowego</t>
  </si>
  <si>
    <t>Zmiana stanu innych środków pieniężnych</t>
  </si>
  <si>
    <t>JEDNOSTKOWE SPRAWOZDANIE ZE ZMIAN W KAPITALE WŁASNYM 
ZA OKRES SPRAWOZDAWCZY KOŃCZĄCY SIĘ 31 GRUDNIA 2023 ROKU</t>
  </si>
  <si>
    <t>Stan na 1 stycznia 2022 roku</t>
  </si>
  <si>
    <t xml:space="preserve"> -   </t>
  </si>
  <si>
    <t>Stan na 31 grudnia 2022 roku</t>
  </si>
  <si>
    <t>Stan na 1 stycznia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</si>
</sst>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&quot;  &quot;;\-\ #,###,&quot;  &quot;;_-* &quot;- &quot;\ _-;_-@_-"/>
    <numFmt numFmtId="165" formatCode="\-"/>
    <numFmt numFmtId="166" formatCode="_-* #,##0.00\ _z_ł_-;\-* #,##0.00\ _z_ł_-;_-* &quot;-&quot;??\ _z_ł_-;_-@_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EF0606"/>
      <name val="Montserrat Regular"/>
      <charset val="238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b/>
      <sz val="8"/>
      <color rgb="FFEF0606"/>
      <name val="Montserrat Regular"/>
      <charset val="238"/>
    </font>
    <font>
      <sz val="8"/>
      <color rgb="FFE73E2A"/>
      <name val="Lato Light"/>
      <family val="2"/>
      <charset val="238"/>
    </font>
    <font>
      <b/>
      <sz val="7"/>
      <color rgb="FFEF0606"/>
      <name val="Montserrat Regular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7"/>
      <color rgb="FFE73E2A"/>
      <name val="Montserrat Regular"/>
      <charset val="238"/>
    </font>
    <font>
      <sz val="11"/>
      <color rgb="FFE73E2A"/>
      <name val="Montserrat Regular"/>
      <charset val="238"/>
    </font>
    <font>
      <sz val="9"/>
      <color theme="1"/>
      <name val="Montserrat Regular"/>
      <charset val="238"/>
    </font>
    <font>
      <sz val="9"/>
      <name val="Montserrat Regular"/>
      <charset val="238"/>
    </font>
    <font>
      <sz val="11"/>
      <color rgb="FFFFFF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9"/>
      <color rgb="FFEF0606"/>
      <name val="Montserrat Regular"/>
      <charset val="238"/>
    </font>
    <font>
      <sz val="9"/>
      <color rgb="FFE73E2A"/>
      <name val="Montserrat Regular"/>
      <charset val="238"/>
    </font>
    <font>
      <b/>
      <sz val="9"/>
      <color theme="0"/>
      <name val="Montserrat Regular"/>
      <charset val="238"/>
    </font>
    <font>
      <sz val="10"/>
      <name val="Montserrat Regular"/>
      <charset val="238"/>
    </font>
    <font>
      <sz val="11"/>
      <color theme="1"/>
      <name val="Montserrat Regular"/>
      <charset val="238"/>
    </font>
    <font>
      <sz val="10"/>
      <color theme="1"/>
      <name val="Calibri"/>
      <family val="2"/>
      <charset val="238"/>
      <scheme val="minor"/>
    </font>
    <font>
      <sz val="10"/>
      <color rgb="FFE73E2A"/>
      <name val="Montserrat Regular"/>
      <charset val="238"/>
    </font>
    <font>
      <sz val="8.5"/>
      <color rgb="FFE73E2A"/>
      <name val="Montserrat Regular"/>
      <charset val="238"/>
    </font>
    <font>
      <sz val="8"/>
      <color theme="1"/>
      <name val="Montserrat Regular"/>
      <charset val="238"/>
    </font>
    <font>
      <sz val="8.5"/>
      <color theme="1"/>
      <name val="Montserrat Regular"/>
      <charset val="238"/>
    </font>
    <font>
      <sz val="8.5"/>
      <name val="Montserrat Regular"/>
      <charset val="238"/>
    </font>
    <font>
      <sz val="8.5"/>
      <color rgb="FF0D0D0D"/>
      <name val="Montserrat Regular"/>
      <charset val="238"/>
    </font>
    <font>
      <sz val="8.5"/>
      <color theme="1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0"/>
      <color theme="1"/>
      <name val="Lato Light"/>
      <family val="2"/>
      <charset val="238"/>
    </font>
    <font>
      <sz val="10"/>
      <color theme="1"/>
      <name val="Tahoma"/>
      <family val="2"/>
      <charset val="238"/>
    </font>
    <font>
      <sz val="9"/>
      <color theme="1"/>
      <name val="Lato Light"/>
      <family val="2"/>
      <charset val="238"/>
    </font>
    <font>
      <sz val="11"/>
      <color theme="1"/>
      <name val="Lato Light"/>
      <family val="2"/>
    </font>
    <font>
      <sz val="8.5"/>
      <color rgb="FFFFFF00"/>
      <name val="Lato Light"/>
      <family val="2"/>
    </font>
    <font>
      <sz val="8.5"/>
      <color theme="1"/>
      <name val="Lato Light"/>
      <family val="2"/>
    </font>
    <font>
      <sz val="8.5"/>
      <color rgb="FFFF0000"/>
      <name val="Lato Light"/>
      <family val="2"/>
    </font>
    <font>
      <sz val="12"/>
      <color theme="1"/>
      <name val="Lato Light"/>
      <family val="2"/>
    </font>
    <font>
      <sz val="11"/>
      <color rgb="FFFF000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sz val="9"/>
      <color theme="0"/>
      <name val="Montserrat Regular"/>
      <charset val="238"/>
    </font>
    <font>
      <sz val="11"/>
      <name val="Calibri"/>
      <family val="2"/>
      <scheme val="minor"/>
    </font>
    <font>
      <sz val="8.5"/>
      <color rgb="FFEF0606"/>
      <name val="Montserrat Regular"/>
      <charset val="238"/>
    </font>
    <font>
      <sz val="8.5"/>
      <color rgb="FFFF0000"/>
      <name val="Montserrat Regular"/>
      <charset val="238"/>
    </font>
    <font>
      <sz val="10"/>
      <name val="Tahoma"/>
      <family val="2"/>
      <charset val="238"/>
    </font>
    <font>
      <sz val="9"/>
      <name val="Arial"/>
      <family val="2"/>
      <charset val="238"/>
    </font>
    <font>
      <sz val="9"/>
      <color rgb="FF0D0D0D"/>
      <name val="Montserrat Regular"/>
      <charset val="238"/>
    </font>
    <font>
      <sz val="9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06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3E2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73E2A"/>
      </bottom>
      <diagonal/>
    </border>
    <border>
      <left/>
      <right/>
      <top style="thin">
        <color rgb="FFEF0606"/>
      </top>
      <bottom/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/>
      <top/>
      <bottom style="thin">
        <color rgb="FFEF0606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E73E2A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E73E2A"/>
      </top>
      <bottom style="thin">
        <color rgb="FFEF0606"/>
      </bottom>
      <diagonal/>
    </border>
    <border>
      <left style="thin">
        <color rgb="FFEF0606"/>
      </left>
      <right/>
      <top style="thin">
        <color rgb="FFEF0606"/>
      </top>
      <bottom style="thin">
        <color rgb="FFE73E2A"/>
      </bottom>
      <diagonal/>
    </border>
    <border>
      <left/>
      <right style="thin">
        <color rgb="FFEF0606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F0606"/>
      </top>
      <bottom/>
      <diagonal/>
    </border>
    <border>
      <left style="thin">
        <color rgb="FFE73E2A"/>
      </left>
      <right/>
      <top style="thin">
        <color rgb="FFEF0606"/>
      </top>
      <bottom/>
      <diagonal/>
    </border>
    <border>
      <left/>
      <right style="thin">
        <color rgb="FFE73E2A"/>
      </right>
      <top/>
      <bottom style="thin">
        <color rgb="FFEF0606"/>
      </bottom>
      <diagonal/>
    </border>
    <border>
      <left/>
      <right style="thin">
        <color rgb="FFE73E2A"/>
      </right>
      <top style="thin">
        <color rgb="FFE73E2A"/>
      </top>
      <bottom style="thin">
        <color rgb="FFEF0606"/>
      </bottom>
      <diagonal/>
    </border>
    <border>
      <left style="thin">
        <color rgb="FFE73E2A"/>
      </left>
      <right/>
      <top style="thin">
        <color rgb="FFE73E2A"/>
      </top>
      <bottom style="thin">
        <color rgb="FFEF0606"/>
      </bottom>
      <diagonal/>
    </border>
    <border>
      <left style="thin">
        <color rgb="FFEF0606"/>
      </left>
      <right/>
      <top style="thin">
        <color rgb="FFE73E2A"/>
      </top>
      <bottom style="thin">
        <color rgb="FFEF0606"/>
      </bottom>
      <diagonal/>
    </border>
    <border>
      <left style="thin">
        <color rgb="FFE73E2A"/>
      </left>
      <right/>
      <top style="thin">
        <color rgb="FFEF0606"/>
      </top>
      <bottom style="thin">
        <color rgb="FFEF0606"/>
      </bottom>
      <diagonal/>
    </border>
    <border>
      <left style="thin">
        <color rgb="FFE73E2A"/>
      </left>
      <right/>
      <top style="thin">
        <color rgb="FFEF0606"/>
      </top>
      <bottom style="thin">
        <color rgb="FFE73E2A"/>
      </bottom>
      <diagonal/>
    </border>
    <border>
      <left style="thin">
        <color rgb="FFEF0606"/>
      </left>
      <right/>
      <top style="thin">
        <color rgb="FFE73E2A"/>
      </top>
      <bottom/>
      <diagonal/>
    </border>
    <border>
      <left/>
      <right style="thin">
        <color rgb="FFE73E2A"/>
      </right>
      <top style="thin">
        <color rgb="FFEF0606"/>
      </top>
      <bottom style="thin">
        <color rgb="FFEF0606"/>
      </bottom>
      <diagonal/>
    </border>
    <border>
      <left style="thin">
        <color indexed="64"/>
      </left>
      <right/>
      <top style="thin">
        <color rgb="FFE73E2A"/>
      </top>
      <bottom style="thin">
        <color rgb="FFEF0606"/>
      </bottom>
      <diagonal/>
    </border>
  </borders>
  <cellStyleXfs count="7">
    <xf numFmtId="0" fontId="0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42" fillId="0" borderId="0"/>
    <xf numFmtId="166" fontId="1" fillId="0" borderId="0" applyFont="0" applyFill="0" applyBorder="0" applyAlignment="0" applyProtection="0"/>
    <xf numFmtId="0" fontId="45" fillId="0" borderId="0"/>
  </cellStyleXfs>
  <cellXfs count="483">
    <xf numFmtId="0" fontId="0" fillId="0" borderId="0" xfId="0"/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 wrapText="1"/>
    </xf>
    <xf numFmtId="0" fontId="5" fillId="0" borderId="0" xfId="1" applyFont="1"/>
    <xf numFmtId="0" fontId="2" fillId="0" borderId="0" xfId="1"/>
    <xf numFmtId="0" fontId="10" fillId="0" borderId="3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center"/>
    </xf>
    <xf numFmtId="0" fontId="11" fillId="4" borderId="3" xfId="1" applyFont="1" applyFill="1" applyBorder="1" applyAlignment="1">
      <alignment horizontal="right" vertical="center"/>
    </xf>
    <xf numFmtId="0" fontId="12" fillId="0" borderId="3" xfId="1" applyFont="1" applyBorder="1" applyAlignment="1">
      <alignment horizontal="right" vertical="center" wrapText="1"/>
    </xf>
    <xf numFmtId="0" fontId="13" fillId="4" borderId="3" xfId="1" applyFont="1" applyFill="1" applyBorder="1" applyAlignment="1">
      <alignment horizontal="left" vertical="center"/>
    </xf>
    <xf numFmtId="0" fontId="13" fillId="4" borderId="3" xfId="1" applyFont="1" applyFill="1" applyBorder="1" applyAlignment="1">
      <alignment horizontal="right" vertical="center"/>
    </xf>
    <xf numFmtId="164" fontId="13" fillId="0" borderId="3" xfId="1" applyNumberFormat="1" applyFont="1" applyBorder="1" applyAlignment="1">
      <alignment horizontal="right" vertical="center" wrapText="1"/>
    </xf>
    <xf numFmtId="0" fontId="13" fillId="4" borderId="0" xfId="1" applyFont="1" applyFill="1" applyAlignment="1">
      <alignment horizontal="left" vertical="center"/>
    </xf>
    <xf numFmtId="0" fontId="14" fillId="4" borderId="0" xfId="1" applyFont="1" applyFill="1" applyAlignment="1">
      <alignment horizontal="right" vertical="center" wrapText="1"/>
    </xf>
    <xf numFmtId="164" fontId="13" fillId="0" borderId="0" xfId="1" applyNumberFormat="1" applyFont="1" applyAlignment="1">
      <alignment horizontal="right" vertical="center" wrapText="1"/>
    </xf>
    <xf numFmtId="0" fontId="13" fillId="4" borderId="0" xfId="1" applyFont="1" applyFill="1" applyAlignment="1">
      <alignment horizontal="right" vertical="center" wrapText="1"/>
    </xf>
    <xf numFmtId="0" fontId="15" fillId="0" borderId="0" xfId="1" applyFont="1"/>
    <xf numFmtId="0" fontId="13" fillId="6" borderId="0" xfId="1" applyFont="1" applyFill="1" applyAlignment="1">
      <alignment horizontal="left" vertical="center"/>
    </xf>
    <xf numFmtId="0" fontId="13" fillId="6" borderId="0" xfId="1" applyFont="1" applyFill="1" applyAlignment="1">
      <alignment horizontal="right" vertical="center" wrapText="1"/>
    </xf>
    <xf numFmtId="164" fontId="13" fillId="5" borderId="0" xfId="1" applyNumberFormat="1" applyFont="1" applyFill="1" applyAlignment="1">
      <alignment horizontal="right" vertical="center" wrapText="1"/>
    </xf>
    <xf numFmtId="0" fontId="13" fillId="6" borderId="0" xfId="1" applyFont="1" applyFill="1" applyAlignment="1">
      <alignment horizontal="right" vertical="center"/>
    </xf>
    <xf numFmtId="164" fontId="2" fillId="0" borderId="0" xfId="1" applyNumberFormat="1"/>
    <xf numFmtId="0" fontId="13" fillId="4" borderId="0" xfId="1" applyFont="1" applyFill="1" applyAlignment="1">
      <alignment horizontal="right" vertical="center"/>
    </xf>
    <xf numFmtId="164" fontId="13" fillId="5" borderId="0" xfId="1" applyNumberFormat="1" applyFont="1" applyFill="1" applyAlignment="1">
      <alignment vertical="center"/>
    </xf>
    <xf numFmtId="164" fontId="13" fillId="5" borderId="3" xfId="1" applyNumberFormat="1" applyFont="1" applyFill="1" applyBorder="1" applyAlignment="1">
      <alignment horizontal="right" vertical="center" wrapText="1"/>
    </xf>
    <xf numFmtId="0" fontId="17" fillId="4" borderId="3" xfId="1" applyFont="1" applyFill="1" applyBorder="1" applyAlignment="1">
      <alignment horizontal="left" vertical="center"/>
    </xf>
    <xf numFmtId="0" fontId="17" fillId="4" borderId="3" xfId="1" applyFont="1" applyFill="1" applyBorder="1" applyAlignment="1">
      <alignment horizontal="right" vertical="center"/>
    </xf>
    <xf numFmtId="164" fontId="17" fillId="5" borderId="3" xfId="1" applyNumberFormat="1" applyFont="1" applyFill="1" applyBorder="1" applyAlignment="1">
      <alignment horizontal="right" vertical="center" wrapText="1"/>
    </xf>
    <xf numFmtId="0" fontId="18" fillId="5" borderId="0" xfId="1" applyFont="1" applyFill="1" applyAlignment="1">
      <alignment horizontal="left" vertical="center"/>
    </xf>
    <xf numFmtId="0" fontId="18" fillId="5" borderId="0" xfId="1" applyFont="1" applyFill="1" applyAlignment="1">
      <alignment horizontal="right" vertical="center"/>
    </xf>
    <xf numFmtId="0" fontId="18" fillId="5" borderId="0" xfId="1" applyFont="1" applyFill="1" applyAlignment="1">
      <alignment horizontal="right" vertical="center" wrapText="1"/>
    </xf>
    <xf numFmtId="0" fontId="9" fillId="3" borderId="0" xfId="1" applyFont="1" applyFill="1" applyAlignment="1">
      <alignment horizontal="left" vertical="center"/>
    </xf>
    <xf numFmtId="0" fontId="19" fillId="3" borderId="0" xfId="1" applyFont="1" applyFill="1" applyAlignment="1">
      <alignment horizontal="right" vertical="center"/>
    </xf>
    <xf numFmtId="0" fontId="19" fillId="3" borderId="0" xfId="1" applyFont="1" applyFill="1" applyAlignment="1">
      <alignment horizontal="right" vertical="center" wrapText="1"/>
    </xf>
    <xf numFmtId="0" fontId="14" fillId="6" borderId="3" xfId="1" applyFont="1" applyFill="1" applyBorder="1" applyAlignment="1">
      <alignment horizontal="left" vertical="center"/>
    </xf>
    <xf numFmtId="0" fontId="14" fillId="6" borderId="3" xfId="1" applyFont="1" applyFill="1" applyBorder="1" applyAlignment="1">
      <alignment horizontal="right" vertical="center"/>
    </xf>
    <xf numFmtId="10" fontId="2" fillId="0" borderId="0" xfId="1" applyNumberFormat="1"/>
    <xf numFmtId="0" fontId="14" fillId="6" borderId="0" xfId="1" applyFont="1" applyFill="1" applyAlignment="1">
      <alignment horizontal="left" vertical="center"/>
    </xf>
    <xf numFmtId="0" fontId="14" fillId="6" borderId="0" xfId="1" applyFont="1" applyFill="1" applyAlignment="1">
      <alignment horizontal="right" vertical="center"/>
    </xf>
    <xf numFmtId="0" fontId="14" fillId="6" borderId="0" xfId="1" applyFont="1" applyFill="1" applyAlignment="1">
      <alignment horizontal="left" vertical="center" wrapText="1"/>
    </xf>
    <xf numFmtId="0" fontId="20" fillId="6" borderId="2" xfId="1" applyFont="1" applyFill="1" applyBorder="1" applyAlignment="1">
      <alignment horizontal="left" vertical="center"/>
    </xf>
    <xf numFmtId="0" fontId="20" fillId="6" borderId="2" xfId="1" applyFont="1" applyFill="1" applyBorder="1" applyAlignment="1">
      <alignment horizontal="right" vertical="center"/>
    </xf>
    <xf numFmtId="164" fontId="13" fillId="0" borderId="2" xfId="1" applyNumberFormat="1" applyFont="1" applyBorder="1" applyAlignment="1">
      <alignment horizontal="right" vertical="center" wrapText="1"/>
    </xf>
    <xf numFmtId="49" fontId="14" fillId="6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left" vertical="center"/>
    </xf>
    <xf numFmtId="0" fontId="14" fillId="4" borderId="0" xfId="1" applyFont="1" applyFill="1" applyAlignment="1">
      <alignment horizontal="right" vertical="center"/>
    </xf>
    <xf numFmtId="0" fontId="20" fillId="4" borderId="3" xfId="1" applyFont="1" applyFill="1" applyBorder="1" applyAlignment="1">
      <alignment horizontal="left" vertical="center"/>
    </xf>
    <xf numFmtId="0" fontId="20" fillId="4" borderId="3" xfId="1" applyFont="1" applyFill="1" applyBorder="1" applyAlignment="1">
      <alignment horizontal="right" vertical="center"/>
    </xf>
    <xf numFmtId="49" fontId="14" fillId="4" borderId="0" xfId="1" applyNumberFormat="1" applyFont="1" applyFill="1" applyAlignment="1">
      <alignment horizontal="right" vertical="center"/>
    </xf>
    <xf numFmtId="164" fontId="13" fillId="0" borderId="0" xfId="1" applyNumberFormat="1" applyFont="1" applyAlignment="1">
      <alignment horizontal="right" vertical="center"/>
    </xf>
    <xf numFmtId="0" fontId="14" fillId="4" borderId="0" xfId="1" applyFont="1" applyFill="1" applyAlignment="1">
      <alignment horizontal="left" vertical="center" wrapText="1"/>
    </xf>
    <xf numFmtId="165" fontId="13" fillId="0" borderId="0" xfId="1" applyNumberFormat="1" applyFont="1" applyAlignment="1">
      <alignment horizontal="right" vertical="center" wrapText="1"/>
    </xf>
    <xf numFmtId="164" fontId="17" fillId="0" borderId="3" xfId="1" applyNumberFormat="1" applyFont="1" applyBorder="1" applyAlignment="1">
      <alignment horizontal="right" vertical="center" wrapText="1"/>
    </xf>
    <xf numFmtId="0" fontId="21" fillId="0" borderId="0" xfId="1" applyFont="1"/>
    <xf numFmtId="0" fontId="21" fillId="0" borderId="0" xfId="1" applyFont="1" applyAlignment="1">
      <alignment horizontal="right"/>
    </xf>
    <xf numFmtId="0" fontId="2" fillId="0" borderId="0" xfId="1" applyAlignment="1">
      <alignment horizontal="right"/>
    </xf>
    <xf numFmtId="0" fontId="22" fillId="0" borderId="0" xfId="1" applyFont="1"/>
    <xf numFmtId="0" fontId="17" fillId="0" borderId="7" xfId="1" applyFont="1" applyBorder="1" applyAlignment="1">
      <alignment horizontal="right" vertical="center" wrapText="1"/>
    </xf>
    <xf numFmtId="0" fontId="17" fillId="0" borderId="4" xfId="1" applyFont="1" applyBorder="1" applyAlignment="1">
      <alignment horizontal="right" vertical="center" wrapText="1"/>
    </xf>
    <xf numFmtId="0" fontId="24" fillId="4" borderId="2" xfId="1" applyFont="1" applyFill="1" applyBorder="1" applyAlignment="1">
      <alignment horizontal="justify" vertical="center"/>
    </xf>
    <xf numFmtId="164" fontId="24" fillId="5" borderId="2" xfId="1" applyNumberFormat="1" applyFont="1" applyFill="1" applyBorder="1" applyAlignment="1">
      <alignment horizontal="right" vertical="center" wrapText="1"/>
    </xf>
    <xf numFmtId="0" fontId="24" fillId="5" borderId="2" xfId="1" applyFont="1" applyFill="1" applyBorder="1" applyAlignment="1">
      <alignment horizontal="right" vertical="center" wrapText="1"/>
    </xf>
    <xf numFmtId="0" fontId="25" fillId="4" borderId="3" xfId="1" applyFont="1" applyFill="1" applyBorder="1" applyAlignment="1">
      <alignment horizontal="left" vertical="center"/>
    </xf>
    <xf numFmtId="0" fontId="25" fillId="4" borderId="3" xfId="1" applyFont="1" applyFill="1" applyBorder="1" applyAlignment="1">
      <alignment horizontal="right" vertical="center"/>
    </xf>
    <xf numFmtId="164" fontId="26" fillId="5" borderId="3" xfId="1" applyNumberFormat="1" applyFont="1" applyFill="1" applyBorder="1" applyAlignment="1">
      <alignment horizontal="right" vertical="center" wrapText="1"/>
    </xf>
    <xf numFmtId="0" fontId="26" fillId="7" borderId="0" xfId="1" applyFont="1" applyFill="1" applyAlignment="1">
      <alignment horizontal="left" vertical="center"/>
    </xf>
    <xf numFmtId="164" fontId="26" fillId="7" borderId="0" xfId="1" applyNumberFormat="1" applyFont="1" applyFill="1" applyAlignment="1">
      <alignment horizontal="right" vertical="center" wrapText="1"/>
    </xf>
    <xf numFmtId="0" fontId="2" fillId="7" borderId="0" xfId="1" applyFill="1"/>
    <xf numFmtId="0" fontId="26" fillId="4" borderId="3" xfId="1" applyFont="1" applyFill="1" applyBorder="1" applyAlignment="1">
      <alignment horizontal="left" vertical="center" wrapText="1"/>
    </xf>
    <xf numFmtId="0" fontId="26" fillId="4" borderId="3" xfId="1" applyFont="1" applyFill="1" applyBorder="1" applyAlignment="1">
      <alignment horizontal="left" vertical="center"/>
    </xf>
    <xf numFmtId="0" fontId="2" fillId="0" borderId="0" xfId="1" applyAlignment="1">
      <alignment horizontal="left"/>
    </xf>
    <xf numFmtId="3" fontId="2" fillId="7" borderId="0" xfId="1" applyNumberFormat="1" applyFill="1"/>
    <xf numFmtId="0" fontId="26" fillId="4" borderId="0" xfId="1" applyFont="1" applyFill="1" applyAlignment="1">
      <alignment horizontal="left" vertical="center"/>
    </xf>
    <xf numFmtId="164" fontId="26" fillId="5" borderId="0" xfId="1" applyNumberFormat="1" applyFont="1" applyFill="1" applyAlignment="1">
      <alignment horizontal="right" vertical="center" wrapText="1"/>
    </xf>
    <xf numFmtId="164" fontId="26" fillId="0" borderId="0" xfId="1" applyNumberFormat="1" applyFont="1" applyAlignment="1">
      <alignment horizontal="right" vertical="center" wrapText="1"/>
    </xf>
    <xf numFmtId="0" fontId="26" fillId="4" borderId="0" xfId="1" applyFont="1" applyFill="1" applyAlignment="1">
      <alignment horizontal="right" vertical="center"/>
    </xf>
    <xf numFmtId="164" fontId="26" fillId="0" borderId="3" xfId="1" applyNumberFormat="1" applyFont="1" applyBorder="1" applyAlignment="1">
      <alignment horizontal="right" vertical="center" wrapText="1"/>
    </xf>
    <xf numFmtId="3" fontId="2" fillId="0" borderId="0" xfId="1" applyNumberFormat="1"/>
    <xf numFmtId="9" fontId="2" fillId="0" borderId="0" xfId="1" applyNumberFormat="1"/>
    <xf numFmtId="0" fontId="26" fillId="4" borderId="3" xfId="1" applyFont="1" applyFill="1" applyBorder="1" applyAlignment="1">
      <alignment horizontal="right" vertical="center"/>
    </xf>
    <xf numFmtId="0" fontId="27" fillId="4" borderId="3" xfId="1" applyFont="1" applyFill="1" applyBorder="1" applyAlignment="1">
      <alignment horizontal="right" vertical="center"/>
    </xf>
    <xf numFmtId="0" fontId="24" fillId="4" borderId="3" xfId="1" applyFont="1" applyFill="1" applyBorder="1" applyAlignment="1">
      <alignment horizontal="left" vertical="center"/>
    </xf>
    <xf numFmtId="0" fontId="27" fillId="4" borderId="3" xfId="1" applyFont="1" applyFill="1" applyBorder="1" applyAlignment="1">
      <alignment horizontal="left" vertical="center"/>
    </xf>
    <xf numFmtId="164" fontId="26" fillId="5" borderId="1" xfId="1" applyNumberFormat="1" applyFont="1" applyFill="1" applyBorder="1" applyAlignment="1">
      <alignment horizontal="right" vertical="center" wrapText="1"/>
    </xf>
    <xf numFmtId="0" fontId="18" fillId="4" borderId="3" xfId="1" applyFont="1" applyFill="1" applyBorder="1" applyAlignment="1">
      <alignment horizontal="left" vertical="center"/>
    </xf>
    <xf numFmtId="164" fontId="18" fillId="0" borderId="3" xfId="1" applyNumberFormat="1" applyFont="1" applyBorder="1" applyAlignment="1">
      <alignment horizontal="right" vertical="center" wrapText="1"/>
    </xf>
    <xf numFmtId="0" fontId="13" fillId="5" borderId="0" xfId="1" applyFont="1" applyFill="1" applyAlignment="1">
      <alignment horizontal="left" vertical="center"/>
    </xf>
    <xf numFmtId="0" fontId="25" fillId="5" borderId="0" xfId="1" applyFont="1" applyFill="1" applyAlignment="1">
      <alignment horizontal="right" vertical="center" wrapText="1"/>
    </xf>
    <xf numFmtId="0" fontId="18" fillId="4" borderId="3" xfId="1" applyFont="1" applyFill="1" applyBorder="1" applyAlignment="1">
      <alignment horizontal="left" vertical="center" wrapText="1"/>
    </xf>
    <xf numFmtId="0" fontId="18" fillId="2" borderId="3" xfId="1" applyFont="1" applyFill="1" applyBorder="1" applyAlignment="1">
      <alignment horizontal="right" vertical="center" wrapText="1"/>
    </xf>
    <xf numFmtId="0" fontId="26" fillId="4" borderId="2" xfId="1" applyFont="1" applyFill="1" applyBorder="1" applyAlignment="1">
      <alignment horizontal="left" vertical="center"/>
    </xf>
    <xf numFmtId="164" fontId="26" fillId="5" borderId="2" xfId="1" applyNumberFormat="1" applyFont="1" applyFill="1" applyBorder="1" applyAlignment="1">
      <alignment horizontal="right" vertical="center" wrapText="1"/>
    </xf>
    <xf numFmtId="2" fontId="28" fillId="0" borderId="0" xfId="2" applyNumberFormat="1" applyFont="1" applyFill="1" applyAlignment="1">
      <alignment horizontal="right" vertical="center" wrapText="1"/>
    </xf>
    <xf numFmtId="0" fontId="26" fillId="6" borderId="0" xfId="1" applyFont="1" applyFill="1" applyAlignment="1">
      <alignment horizontal="left" vertical="center"/>
    </xf>
    <xf numFmtId="0" fontId="2" fillId="8" borderId="0" xfId="1" applyFill="1"/>
    <xf numFmtId="2" fontId="28" fillId="0" borderId="2" xfId="2" applyNumberFormat="1" applyFont="1" applyFill="1" applyBorder="1" applyAlignment="1">
      <alignment horizontal="right" vertical="center" wrapText="1"/>
    </xf>
    <xf numFmtId="0" fontId="29" fillId="0" borderId="0" xfId="1" applyFont="1" applyAlignment="1">
      <alignment horizontal="left" vertical="center"/>
    </xf>
    <xf numFmtId="2" fontId="30" fillId="0" borderId="0" xfId="2" applyNumberFormat="1" applyFont="1" applyFill="1" applyBorder="1" applyAlignment="1">
      <alignment horizontal="right" vertical="center" wrapText="1"/>
    </xf>
    <xf numFmtId="0" fontId="18" fillId="0" borderId="3" xfId="1" applyFont="1" applyBorder="1" applyAlignment="1">
      <alignment horizontal="right" vertical="center" wrapText="1"/>
    </xf>
    <xf numFmtId="164" fontId="24" fillId="5" borderId="3" xfId="1" applyNumberFormat="1" applyFont="1" applyFill="1" applyBorder="1" applyAlignment="1">
      <alignment horizontal="right" vertical="center" wrapText="1"/>
    </xf>
    <xf numFmtId="164" fontId="27" fillId="5" borderId="0" xfId="1" applyNumberFormat="1" applyFont="1" applyFill="1" applyAlignment="1">
      <alignment horizontal="right" vertical="center" wrapText="1"/>
    </xf>
    <xf numFmtId="164" fontId="27" fillId="5" borderId="3" xfId="1" applyNumberFormat="1" applyFont="1" applyFill="1" applyBorder="1" applyAlignment="1">
      <alignment horizontal="right" vertical="center" wrapText="1"/>
    </xf>
    <xf numFmtId="2" fontId="30" fillId="5" borderId="0" xfId="2" applyNumberFormat="1" applyFont="1" applyFill="1" applyBorder="1" applyAlignment="1">
      <alignment horizontal="right" vertical="center" wrapText="1"/>
    </xf>
    <xf numFmtId="164" fontId="27" fillId="0" borderId="3" xfId="1" applyNumberFormat="1" applyFont="1" applyBorder="1" applyAlignment="1">
      <alignment horizontal="right" vertical="center" wrapText="1"/>
    </xf>
    <xf numFmtId="164" fontId="27" fillId="0" borderId="0" xfId="1" applyNumberFormat="1" applyFont="1" applyAlignment="1">
      <alignment horizontal="right" vertical="center" wrapText="1"/>
    </xf>
    <xf numFmtId="164" fontId="24" fillId="0" borderId="3" xfId="1" applyNumberFormat="1" applyFont="1" applyBorder="1" applyAlignment="1">
      <alignment horizontal="right" vertical="center" wrapText="1"/>
    </xf>
    <xf numFmtId="164" fontId="18" fillId="2" borderId="3" xfId="1" applyNumberFormat="1" applyFont="1" applyFill="1" applyBorder="1" applyAlignment="1">
      <alignment horizontal="right" vertical="center" wrapText="1"/>
    </xf>
    <xf numFmtId="0" fontId="18" fillId="4" borderId="0" xfId="1" applyFont="1" applyFill="1" applyAlignment="1">
      <alignment horizontal="left" vertical="center"/>
    </xf>
    <xf numFmtId="164" fontId="14" fillId="0" borderId="0" xfId="1" applyNumberFormat="1" applyFont="1" applyAlignment="1">
      <alignment horizontal="right" vertical="center" wrapText="1"/>
    </xf>
    <xf numFmtId="164" fontId="14" fillId="2" borderId="0" xfId="1" applyNumberFormat="1" applyFont="1" applyFill="1" applyAlignment="1">
      <alignment horizontal="right" vertical="center" wrapText="1"/>
    </xf>
    <xf numFmtId="0" fontId="2" fillId="0" borderId="1" xfId="1" applyBorder="1"/>
    <xf numFmtId="0" fontId="2" fillId="2" borderId="1" xfId="1" applyFill="1" applyBorder="1"/>
    <xf numFmtId="0" fontId="2" fillId="2" borderId="0" xfId="1" applyFill="1"/>
    <xf numFmtId="0" fontId="31" fillId="0" borderId="0" xfId="1" applyFont="1"/>
    <xf numFmtId="0" fontId="31" fillId="2" borderId="0" xfId="1" applyFont="1" applyFill="1"/>
    <xf numFmtId="0" fontId="24" fillId="4" borderId="3" xfId="1" applyFont="1" applyFill="1" applyBorder="1" applyAlignment="1">
      <alignment horizontal="left" vertical="center" wrapText="1"/>
    </xf>
    <xf numFmtId="0" fontId="24" fillId="5" borderId="3" xfId="1" applyFont="1" applyFill="1" applyBorder="1" applyAlignment="1">
      <alignment horizontal="right" vertical="center" wrapText="1"/>
    </xf>
    <xf numFmtId="164" fontId="28" fillId="0" borderId="3" xfId="1" applyNumberFormat="1" applyFont="1" applyBorder="1" applyAlignment="1">
      <alignment horizontal="right" vertical="center" wrapText="1"/>
    </xf>
    <xf numFmtId="0" fontId="27" fillId="6" borderId="0" xfId="1" applyFont="1" applyFill="1" applyAlignment="1">
      <alignment horizontal="left" vertical="center" wrapText="1"/>
    </xf>
    <xf numFmtId="0" fontId="2" fillId="9" borderId="0" xfId="1" applyFill="1"/>
    <xf numFmtId="0" fontId="27" fillId="6" borderId="0" xfId="1" applyFont="1" applyFill="1" applyAlignment="1">
      <alignment horizontal="left" wrapText="1"/>
    </xf>
    <xf numFmtId="0" fontId="27" fillId="4" borderId="0" xfId="1" applyFont="1" applyFill="1" applyAlignment="1">
      <alignment horizontal="left" vertical="center" wrapText="1"/>
    </xf>
    <xf numFmtId="0" fontId="27" fillId="4" borderId="3" xfId="1" applyFont="1" applyFill="1" applyBorder="1" applyAlignment="1">
      <alignment horizontal="left" vertical="center" wrapText="1"/>
    </xf>
    <xf numFmtId="0" fontId="25" fillId="4" borderId="3" xfId="1" applyFont="1" applyFill="1" applyBorder="1" applyAlignment="1">
      <alignment horizontal="left" vertical="center" wrapText="1"/>
    </xf>
    <xf numFmtId="164" fontId="26" fillId="2" borderId="2" xfId="1" applyNumberFormat="1" applyFont="1" applyFill="1" applyBorder="1" applyAlignment="1">
      <alignment horizontal="right" vertical="center" wrapText="1"/>
    </xf>
    <xf numFmtId="0" fontId="26" fillId="2" borderId="2" xfId="1" applyFont="1" applyFill="1" applyBorder="1" applyAlignment="1">
      <alignment horizontal="right" vertical="center" wrapText="1"/>
    </xf>
    <xf numFmtId="164" fontId="26" fillId="2" borderId="0" xfId="1" applyNumberFormat="1" applyFont="1" applyFill="1" applyAlignment="1">
      <alignment horizontal="right" vertical="center" wrapText="1"/>
    </xf>
    <xf numFmtId="165" fontId="26" fillId="2" borderId="0" xfId="1" applyNumberFormat="1" applyFont="1" applyFill="1" applyAlignment="1">
      <alignment horizontal="right" vertical="center" wrapText="1"/>
    </xf>
    <xf numFmtId="0" fontId="32" fillId="0" borderId="0" xfId="1" applyFont="1" applyAlignment="1">
      <alignment vertical="center"/>
    </xf>
    <xf numFmtId="0" fontId="26" fillId="0" borderId="3" xfId="1" applyFont="1" applyBorder="1" applyAlignment="1">
      <alignment horizontal="right" vertical="center" wrapText="1"/>
    </xf>
    <xf numFmtId="0" fontId="26" fillId="4" borderId="0" xfId="1" applyFont="1" applyFill="1" applyAlignment="1">
      <alignment horizontal="left" vertical="center" wrapText="1"/>
    </xf>
    <xf numFmtId="0" fontId="2" fillId="0" borderId="0" xfId="1" applyAlignment="1">
      <alignment wrapText="1"/>
    </xf>
    <xf numFmtId="0" fontId="33" fillId="2" borderId="0" xfId="1" applyFont="1" applyFill="1"/>
    <xf numFmtId="0" fontId="34" fillId="0" borderId="0" xfId="1" applyFont="1"/>
    <xf numFmtId="0" fontId="35" fillId="0" borderId="0" xfId="1" applyFont="1"/>
    <xf numFmtId="0" fontId="36" fillId="0" borderId="0" xfId="1" applyFont="1"/>
    <xf numFmtId="0" fontId="24" fillId="0" borderId="8" xfId="1" applyFont="1" applyBorder="1" applyAlignment="1">
      <alignment horizontal="right" wrapText="1"/>
    </xf>
    <xf numFmtId="0" fontId="24" fillId="0" borderId="3" xfId="1" applyFont="1" applyBorder="1" applyAlignment="1">
      <alignment horizontal="right" wrapText="1"/>
    </xf>
    <xf numFmtId="0" fontId="24" fillId="0" borderId="9" xfId="1" applyFont="1" applyBorder="1" applyAlignment="1">
      <alignment horizontal="right" wrapText="1"/>
    </xf>
    <xf numFmtId="0" fontId="36" fillId="0" borderId="0" xfId="1" applyFont="1" applyAlignment="1">
      <alignment wrapText="1"/>
    </xf>
    <xf numFmtId="0" fontId="27" fillId="4" borderId="10" xfId="1" applyFont="1" applyFill="1" applyBorder="1" applyAlignment="1">
      <alignment horizontal="left" vertical="center"/>
    </xf>
    <xf numFmtId="167" fontId="27" fillId="5" borderId="8" xfId="1" applyNumberFormat="1" applyFont="1" applyFill="1" applyBorder="1" applyAlignment="1">
      <alignment horizontal="right" vertical="center" wrapText="1"/>
    </xf>
    <xf numFmtId="167" fontId="27" fillId="5" borderId="3" xfId="1" applyNumberFormat="1" applyFont="1" applyFill="1" applyBorder="1" applyAlignment="1">
      <alignment horizontal="right" vertical="center" wrapText="1"/>
    </xf>
    <xf numFmtId="167" fontId="27" fillId="0" borderId="3" xfId="1" applyNumberFormat="1" applyFont="1" applyBorder="1" applyAlignment="1">
      <alignment horizontal="right" vertical="center" wrapText="1"/>
    </xf>
    <xf numFmtId="167" fontId="27" fillId="5" borderId="9" xfId="1" applyNumberFormat="1" applyFont="1" applyFill="1" applyBorder="1" applyAlignment="1">
      <alignment horizontal="right" vertical="center" wrapText="1"/>
    </xf>
    <xf numFmtId="167" fontId="27" fillId="5" borderId="0" xfId="1" applyNumberFormat="1" applyFont="1" applyFill="1" applyAlignment="1">
      <alignment horizontal="right" vertical="center" wrapText="1"/>
    </xf>
    <xf numFmtId="167" fontId="27" fillId="0" borderId="0" xfId="1" applyNumberFormat="1" applyFont="1" applyAlignment="1">
      <alignment horizontal="right" vertical="center" wrapText="1"/>
    </xf>
    <xf numFmtId="167" fontId="27" fillId="5" borderId="11" xfId="1" applyNumberFormat="1" applyFont="1" applyFill="1" applyBorder="1" applyAlignment="1">
      <alignment horizontal="right" vertical="center" wrapText="1"/>
    </xf>
    <xf numFmtId="3" fontId="36" fillId="0" borderId="0" xfId="1" applyNumberFormat="1" applyFont="1"/>
    <xf numFmtId="0" fontId="27" fillId="4" borderId="12" xfId="1" applyFont="1" applyFill="1" applyBorder="1" applyAlignment="1">
      <alignment horizontal="left" vertical="center"/>
    </xf>
    <xf numFmtId="167" fontId="27" fillId="0" borderId="11" xfId="1" applyNumberFormat="1" applyFont="1" applyBorder="1" applyAlignment="1">
      <alignment horizontal="right" vertical="center" wrapText="1"/>
    </xf>
    <xf numFmtId="167" fontId="27" fillId="0" borderId="9" xfId="1" applyNumberFormat="1" applyFont="1" applyBorder="1" applyAlignment="1">
      <alignment horizontal="right" vertical="center" wrapText="1"/>
    </xf>
    <xf numFmtId="0" fontId="27" fillId="4" borderId="11" xfId="1" applyFont="1" applyFill="1" applyBorder="1" applyAlignment="1">
      <alignment horizontal="left" vertical="center"/>
    </xf>
    <xf numFmtId="167" fontId="27" fillId="5" borderId="13" xfId="1" applyNumberFormat="1" applyFont="1" applyFill="1" applyBorder="1" applyAlignment="1">
      <alignment horizontal="right" vertical="center" wrapText="1"/>
    </xf>
    <xf numFmtId="167" fontId="27" fillId="5" borderId="1" xfId="1" applyNumberFormat="1" applyFont="1" applyFill="1" applyBorder="1" applyAlignment="1">
      <alignment horizontal="right" vertical="center" wrapText="1"/>
    </xf>
    <xf numFmtId="167" fontId="27" fillId="0" borderId="1" xfId="1" applyNumberFormat="1" applyFont="1" applyBorder="1" applyAlignment="1">
      <alignment horizontal="right" vertical="center" wrapText="1"/>
    </xf>
    <xf numFmtId="167" fontId="27" fillId="0" borderId="10" xfId="1" applyNumberFormat="1" applyFont="1" applyBorder="1" applyAlignment="1">
      <alignment horizontal="right" vertical="center" wrapText="1"/>
    </xf>
    <xf numFmtId="167" fontId="27" fillId="0" borderId="14" xfId="1" applyNumberFormat="1" applyFont="1" applyBorder="1" applyAlignment="1">
      <alignment horizontal="right" vertical="center" wrapText="1"/>
    </xf>
    <xf numFmtId="167" fontId="27" fillId="5" borderId="14" xfId="1" applyNumberFormat="1" applyFont="1" applyFill="1" applyBorder="1" applyAlignment="1">
      <alignment horizontal="right" vertical="center" wrapText="1"/>
    </xf>
    <xf numFmtId="167" fontId="27" fillId="5" borderId="15" xfId="1" applyNumberFormat="1" applyFont="1" applyFill="1" applyBorder="1" applyAlignment="1">
      <alignment horizontal="right" vertical="center" wrapText="1"/>
    </xf>
    <xf numFmtId="167" fontId="27" fillId="5" borderId="2" xfId="1" applyNumberFormat="1" applyFont="1" applyFill="1" applyBorder="1" applyAlignment="1">
      <alignment horizontal="right" vertical="center" wrapText="1"/>
    </xf>
    <xf numFmtId="167" fontId="27" fillId="0" borderId="2" xfId="1" applyNumberFormat="1" applyFont="1" applyBorder="1" applyAlignment="1">
      <alignment horizontal="right" vertical="center" wrapText="1"/>
    </xf>
    <xf numFmtId="167" fontId="27" fillId="5" borderId="12" xfId="1" applyNumberFormat="1" applyFont="1" applyFill="1" applyBorder="1" applyAlignment="1">
      <alignment horizontal="right" vertical="center" wrapText="1"/>
    </xf>
    <xf numFmtId="0" fontId="24" fillId="4" borderId="9" xfId="1" applyFont="1" applyFill="1" applyBorder="1" applyAlignment="1">
      <alignment horizontal="left" vertical="center"/>
    </xf>
    <xf numFmtId="0" fontId="24" fillId="2" borderId="3" xfId="1" applyFont="1" applyFill="1" applyBorder="1" applyAlignment="1">
      <alignment vertical="center" wrapText="1"/>
    </xf>
    <xf numFmtId="0" fontId="24" fillId="2" borderId="1" xfId="1" applyFont="1" applyFill="1" applyBorder="1" applyAlignment="1">
      <alignment vertical="center" wrapText="1"/>
    </xf>
    <xf numFmtId="14" fontId="36" fillId="0" borderId="0" xfId="1" applyNumberFormat="1" applyFont="1"/>
    <xf numFmtId="0" fontId="27" fillId="4" borderId="1" xfId="1" applyFont="1" applyFill="1" applyBorder="1" applyAlignment="1">
      <alignment horizontal="left" vertical="center"/>
    </xf>
    <xf numFmtId="3" fontId="37" fillId="0" borderId="0" xfId="1" applyNumberFormat="1" applyFont="1"/>
    <xf numFmtId="3" fontId="37" fillId="10" borderId="0" xfId="1" applyNumberFormat="1" applyFont="1" applyFill="1"/>
    <xf numFmtId="0" fontId="27" fillId="4" borderId="9" xfId="1" applyFont="1" applyFill="1" applyBorder="1" applyAlignment="1">
      <alignment horizontal="left" vertical="center"/>
    </xf>
    <xf numFmtId="167" fontId="27" fillId="5" borderId="10" xfId="1" applyNumberFormat="1" applyFont="1" applyFill="1" applyBorder="1" applyAlignment="1">
      <alignment horizontal="right" vertical="center" wrapText="1"/>
    </xf>
    <xf numFmtId="0" fontId="27" fillId="4" borderId="0" xfId="1" applyFont="1" applyFill="1" applyAlignment="1">
      <alignment horizontal="left" vertical="center"/>
    </xf>
    <xf numFmtId="0" fontId="27" fillId="6" borderId="0" xfId="1" applyFont="1" applyFill="1" applyAlignment="1">
      <alignment horizontal="left" vertical="center"/>
    </xf>
    <xf numFmtId="0" fontId="36" fillId="7" borderId="0" xfId="1" applyFont="1" applyFill="1"/>
    <xf numFmtId="0" fontId="27" fillId="4" borderId="2" xfId="1" applyFont="1" applyFill="1" applyBorder="1" applyAlignment="1">
      <alignment horizontal="left" vertical="center"/>
    </xf>
    <xf numFmtId="167" fontId="36" fillId="0" borderId="0" xfId="1" applyNumberFormat="1" applyFont="1"/>
    <xf numFmtId="3" fontId="34" fillId="0" borderId="0" xfId="1" applyNumberFormat="1" applyFont="1"/>
    <xf numFmtId="0" fontId="38" fillId="2" borderId="0" xfId="1" applyFont="1" applyFill="1"/>
    <xf numFmtId="0" fontId="4" fillId="2" borderId="0" xfId="3" applyFont="1" applyFill="1" applyAlignment="1">
      <alignment vertical="top" wrapText="1"/>
    </xf>
    <xf numFmtId="0" fontId="5" fillId="0" borderId="0" xfId="3" applyFont="1" applyAlignment="1">
      <alignment vertical="top"/>
    </xf>
    <xf numFmtId="0" fontId="7" fillId="2" borderId="0" xfId="3" applyFont="1" applyFill="1" applyAlignment="1">
      <alignment vertical="top" wrapText="1"/>
    </xf>
    <xf numFmtId="0" fontId="5" fillId="0" borderId="0" xfId="3" applyFont="1"/>
    <xf numFmtId="0" fontId="7" fillId="2" borderId="0" xfId="3" applyFont="1" applyFill="1" applyAlignment="1">
      <alignment horizontal="center" vertical="top" wrapText="1"/>
    </xf>
    <xf numFmtId="0" fontId="22" fillId="0" borderId="0" xfId="3" applyFont="1"/>
    <xf numFmtId="0" fontId="1" fillId="0" borderId="0" xfId="3"/>
    <xf numFmtId="0" fontId="10" fillId="0" borderId="3" xfId="3" applyFont="1" applyBorder="1" applyAlignment="1">
      <alignment horizontal="right" vertical="center" wrapText="1"/>
    </xf>
    <xf numFmtId="0" fontId="11" fillId="4" borderId="3" xfId="3" applyFont="1" applyFill="1" applyBorder="1" applyAlignment="1">
      <alignment horizontal="left" vertical="center"/>
    </xf>
    <xf numFmtId="0" fontId="11" fillId="4" borderId="3" xfId="3" applyFont="1" applyFill="1" applyBorder="1" applyAlignment="1">
      <alignment horizontal="right" vertical="center"/>
    </xf>
    <xf numFmtId="0" fontId="12" fillId="0" borderId="3" xfId="3" applyFont="1" applyBorder="1" applyAlignment="1">
      <alignment horizontal="right" vertical="center" wrapText="1"/>
    </xf>
    <xf numFmtId="0" fontId="13" fillId="4" borderId="3" xfId="3" applyFont="1" applyFill="1" applyBorder="1" applyAlignment="1">
      <alignment horizontal="left" vertical="center"/>
    </xf>
    <xf numFmtId="0" fontId="13" fillId="4" borderId="3" xfId="3" applyFont="1" applyFill="1" applyBorder="1" applyAlignment="1">
      <alignment horizontal="right" vertical="center"/>
    </xf>
    <xf numFmtId="3" fontId="13" fillId="0" borderId="3" xfId="3" applyNumberFormat="1" applyFont="1" applyBorder="1" applyAlignment="1">
      <alignment horizontal="right" vertical="center" wrapText="1"/>
    </xf>
    <xf numFmtId="4" fontId="1" fillId="0" borderId="0" xfId="3" applyNumberFormat="1" applyAlignment="1">
      <alignment vertical="center"/>
    </xf>
    <xf numFmtId="0" fontId="1" fillId="0" borderId="0" xfId="3" applyAlignment="1">
      <alignment vertical="center"/>
    </xf>
    <xf numFmtId="0" fontId="13" fillId="4" borderId="0" xfId="3" applyFont="1" applyFill="1" applyAlignment="1">
      <alignment horizontal="left" vertical="center"/>
    </xf>
    <xf numFmtId="0" fontId="13" fillId="4" borderId="0" xfId="3" applyFont="1" applyFill="1" applyAlignment="1">
      <alignment horizontal="right" vertical="center" wrapText="1"/>
    </xf>
    <xf numFmtId="3" fontId="13" fillId="0" borderId="0" xfId="3" applyNumberFormat="1" applyFont="1" applyAlignment="1">
      <alignment horizontal="right" vertical="center" wrapText="1"/>
    </xf>
    <xf numFmtId="3" fontId="1" fillId="0" borderId="0" xfId="3" applyNumberFormat="1" applyAlignment="1">
      <alignment vertical="center"/>
    </xf>
    <xf numFmtId="0" fontId="40" fillId="0" borderId="0" xfId="3" applyFont="1" applyAlignment="1">
      <alignment vertical="center"/>
    </xf>
    <xf numFmtId="168" fontId="13" fillId="0" borderId="0" xfId="3" applyNumberFormat="1" applyFont="1" applyAlignment="1">
      <alignment horizontal="right" vertical="center" wrapText="1"/>
    </xf>
    <xf numFmtId="0" fontId="13" fillId="4" borderId="0" xfId="3" applyFont="1" applyFill="1" applyAlignment="1">
      <alignment horizontal="right" vertical="center"/>
    </xf>
    <xf numFmtId="3" fontId="13" fillId="5" borderId="3" xfId="3" applyNumberFormat="1" applyFont="1" applyFill="1" applyBorder="1" applyAlignment="1">
      <alignment horizontal="right" vertical="center" wrapText="1"/>
    </xf>
    <xf numFmtId="0" fontId="13" fillId="5" borderId="0" xfId="3" applyFont="1" applyFill="1" applyAlignment="1">
      <alignment horizontal="right" vertical="center" wrapText="1"/>
    </xf>
    <xf numFmtId="3" fontId="40" fillId="0" borderId="0" xfId="3" applyNumberFormat="1" applyFont="1" applyAlignment="1">
      <alignment vertical="center"/>
    </xf>
    <xf numFmtId="3" fontId="13" fillId="0" borderId="16" xfId="3" applyNumberFormat="1" applyFont="1" applyBorder="1" applyAlignment="1">
      <alignment horizontal="right" vertical="center" wrapText="1"/>
    </xf>
    <xf numFmtId="3" fontId="13" fillId="5" borderId="16" xfId="3" applyNumberFormat="1" applyFont="1" applyFill="1" applyBorder="1" applyAlignment="1">
      <alignment horizontal="right" vertical="center" wrapText="1"/>
    </xf>
    <xf numFmtId="0" fontId="13" fillId="4" borderId="17" xfId="3" applyFont="1" applyFill="1" applyBorder="1" applyAlignment="1">
      <alignment horizontal="left" vertical="center"/>
    </xf>
    <xf numFmtId="0" fontId="13" fillId="4" borderId="17" xfId="3" applyFont="1" applyFill="1" applyBorder="1" applyAlignment="1">
      <alignment horizontal="right" vertical="center"/>
    </xf>
    <xf numFmtId="168" fontId="13" fillId="0" borderId="18" xfId="3" applyNumberFormat="1" applyFont="1" applyBorder="1" applyAlignment="1">
      <alignment horizontal="right" vertical="center" wrapText="1"/>
    </xf>
    <xf numFmtId="3" fontId="13" fillId="5" borderId="18" xfId="3" applyNumberFormat="1" applyFont="1" applyFill="1" applyBorder="1" applyAlignment="1">
      <alignment horizontal="right" vertical="center" wrapText="1"/>
    </xf>
    <xf numFmtId="0" fontId="17" fillId="4" borderId="3" xfId="3" applyFont="1" applyFill="1" applyBorder="1" applyAlignment="1">
      <alignment horizontal="left" vertical="center"/>
    </xf>
    <xf numFmtId="0" fontId="17" fillId="4" borderId="3" xfId="3" applyFont="1" applyFill="1" applyBorder="1" applyAlignment="1">
      <alignment horizontal="right" vertical="center"/>
    </xf>
    <xf numFmtId="3" fontId="17" fillId="5" borderId="3" xfId="3" applyNumberFormat="1" applyFont="1" applyFill="1" applyBorder="1" applyAlignment="1">
      <alignment horizontal="right" vertical="center" wrapText="1"/>
    </xf>
    <xf numFmtId="0" fontId="41" fillId="0" borderId="0" xfId="3" applyFont="1" applyAlignment="1">
      <alignment horizontal="right" vertical="center"/>
    </xf>
    <xf numFmtId="4" fontId="1" fillId="0" borderId="0" xfId="3" applyNumberFormat="1"/>
    <xf numFmtId="3" fontId="1" fillId="0" borderId="0" xfId="3" applyNumberFormat="1"/>
    <xf numFmtId="0" fontId="14" fillId="4" borderId="3" xfId="3" applyFont="1" applyFill="1" applyBorder="1" applyAlignment="1">
      <alignment horizontal="left" vertical="center"/>
    </xf>
    <xf numFmtId="0" fontId="14" fillId="4" borderId="3" xfId="3" applyFont="1" applyFill="1" applyBorder="1" applyAlignment="1">
      <alignment horizontal="right" vertical="center"/>
    </xf>
    <xf numFmtId="165" fontId="1" fillId="0" borderId="0" xfId="3" applyNumberFormat="1" applyAlignment="1">
      <alignment vertical="center"/>
    </xf>
    <xf numFmtId="0" fontId="14" fillId="4" borderId="0" xfId="3" applyFont="1" applyFill="1" applyAlignment="1">
      <alignment horizontal="left" vertical="center"/>
    </xf>
    <xf numFmtId="0" fontId="14" fillId="4" borderId="0" xfId="3" applyFont="1" applyFill="1" applyAlignment="1">
      <alignment horizontal="right" vertical="center"/>
    </xf>
    <xf numFmtId="3" fontId="13" fillId="5" borderId="0" xfId="3" applyNumberFormat="1" applyFont="1" applyFill="1" applyAlignment="1">
      <alignment horizontal="right" vertical="center" wrapText="1"/>
    </xf>
    <xf numFmtId="4" fontId="42" fillId="0" borderId="0" xfId="4" applyNumberFormat="1"/>
    <xf numFmtId="0" fontId="20" fillId="4" borderId="2" xfId="3" applyFont="1" applyFill="1" applyBorder="1" applyAlignment="1">
      <alignment horizontal="left" vertical="center"/>
    </xf>
    <xf numFmtId="0" fontId="20" fillId="4" borderId="2" xfId="3" applyFont="1" applyFill="1" applyBorder="1" applyAlignment="1">
      <alignment horizontal="right" vertical="center"/>
    </xf>
    <xf numFmtId="3" fontId="13" fillId="5" borderId="2" xfId="3" applyNumberFormat="1" applyFont="1" applyFill="1" applyBorder="1" applyAlignment="1">
      <alignment horizontal="right" vertical="center" wrapText="1"/>
    </xf>
    <xf numFmtId="49" fontId="14" fillId="4" borderId="0" xfId="3" applyNumberFormat="1" applyFont="1" applyFill="1" applyAlignment="1">
      <alignment horizontal="right" vertical="center"/>
    </xf>
    <xf numFmtId="4" fontId="1" fillId="11" borderId="0" xfId="3" applyNumberFormat="1" applyFill="1" applyAlignment="1">
      <alignment vertical="center"/>
    </xf>
    <xf numFmtId="0" fontId="13" fillId="0" borderId="0" xfId="3" applyFont="1" applyAlignment="1">
      <alignment horizontal="right" vertical="center" wrapText="1"/>
    </xf>
    <xf numFmtId="0" fontId="20" fillId="4" borderId="3" xfId="3" applyFont="1" applyFill="1" applyBorder="1" applyAlignment="1">
      <alignment horizontal="left" vertical="center"/>
    </xf>
    <xf numFmtId="0" fontId="20" fillId="4" borderId="3" xfId="3" applyFont="1" applyFill="1" applyBorder="1" applyAlignment="1">
      <alignment horizontal="right" vertical="center"/>
    </xf>
    <xf numFmtId="0" fontId="14" fillId="4" borderId="0" xfId="3" applyFont="1" applyFill="1" applyAlignment="1">
      <alignment horizontal="left" vertical="center" wrapText="1"/>
    </xf>
    <xf numFmtId="3" fontId="13" fillId="0" borderId="2" xfId="3" applyNumberFormat="1" applyFont="1" applyBorder="1" applyAlignment="1">
      <alignment horizontal="right" vertical="center" wrapText="1"/>
    </xf>
    <xf numFmtId="0" fontId="14" fillId="4" borderId="3" xfId="3" applyFont="1" applyFill="1" applyBorder="1" applyAlignment="1">
      <alignment horizontal="left" vertical="center" wrapText="1"/>
    </xf>
    <xf numFmtId="3" fontId="17" fillId="0" borderId="3" xfId="3" applyNumberFormat="1" applyFont="1" applyBorder="1" applyAlignment="1">
      <alignment horizontal="right" vertical="center" wrapText="1"/>
    </xf>
    <xf numFmtId="0" fontId="1" fillId="0" borderId="0" xfId="3" applyAlignment="1">
      <alignment horizontal="right"/>
    </xf>
    <xf numFmtId="3" fontId="1" fillId="0" borderId="0" xfId="3" applyNumberFormat="1" applyAlignment="1">
      <alignment horizontal="right"/>
    </xf>
    <xf numFmtId="0" fontId="17" fillId="0" borderId="7" xfId="3" applyFont="1" applyBorder="1" applyAlignment="1">
      <alignment horizontal="right" vertical="center" wrapText="1"/>
    </xf>
    <xf numFmtId="0" fontId="17" fillId="0" borderId="0" xfId="3" applyFont="1" applyAlignment="1">
      <alignment horizontal="right" vertical="center" wrapText="1"/>
    </xf>
    <xf numFmtId="0" fontId="43" fillId="4" borderId="4" xfId="3" applyFont="1" applyFill="1" applyBorder="1" applyAlignment="1">
      <alignment horizontal="justify" vertical="center"/>
    </xf>
    <xf numFmtId="0" fontId="24" fillId="4" borderId="6" xfId="3" applyFont="1" applyFill="1" applyBorder="1" applyAlignment="1">
      <alignment horizontal="justify" vertical="center"/>
    </xf>
    <xf numFmtId="0" fontId="24" fillId="5" borderId="6" xfId="3" applyFont="1" applyFill="1" applyBorder="1" applyAlignment="1">
      <alignment horizontal="right" vertical="center" wrapText="1"/>
    </xf>
    <xf numFmtId="0" fontId="24" fillId="5" borderId="5" xfId="3" applyFont="1" applyFill="1" applyBorder="1" applyAlignment="1">
      <alignment horizontal="right" vertical="center" wrapText="1"/>
    </xf>
    <xf numFmtId="0" fontId="25" fillId="4" borderId="19" xfId="3" applyFont="1" applyFill="1" applyBorder="1" applyAlignment="1">
      <alignment horizontal="left" vertical="center"/>
    </xf>
    <xf numFmtId="0" fontId="25" fillId="4" borderId="6" xfId="3" applyFont="1" applyFill="1" applyBorder="1" applyAlignment="1">
      <alignment horizontal="right" vertical="center"/>
    </xf>
    <xf numFmtId="3" fontId="26" fillId="0" borderId="6" xfId="3" applyNumberFormat="1" applyFont="1" applyBorder="1" applyAlignment="1">
      <alignment horizontal="right" vertical="center" wrapText="1"/>
    </xf>
    <xf numFmtId="0" fontId="26" fillId="7" borderId="0" xfId="3" applyFont="1" applyFill="1" applyAlignment="1">
      <alignment horizontal="left" vertical="center"/>
    </xf>
    <xf numFmtId="3" fontId="26" fillId="7" borderId="0" xfId="3" applyNumberFormat="1" applyFont="1" applyFill="1" applyAlignment="1">
      <alignment horizontal="right" vertical="center" wrapText="1"/>
    </xf>
    <xf numFmtId="0" fontId="1" fillId="7" borderId="0" xfId="3" applyFill="1" applyAlignment="1">
      <alignment vertical="center"/>
    </xf>
    <xf numFmtId="0" fontId="26" fillId="4" borderId="3" xfId="3" applyFont="1" applyFill="1" applyBorder="1" applyAlignment="1">
      <alignment horizontal="left" vertical="center"/>
    </xf>
    <xf numFmtId="0" fontId="26" fillId="4" borderId="4" xfId="3" applyFont="1" applyFill="1" applyBorder="1" applyAlignment="1">
      <alignment horizontal="left" vertical="center"/>
    </xf>
    <xf numFmtId="3" fontId="44" fillId="0" borderId="3" xfId="3" applyNumberFormat="1" applyFont="1" applyBorder="1" applyAlignment="1">
      <alignment horizontal="right" vertical="center" wrapText="1"/>
    </xf>
    <xf numFmtId="3" fontId="44" fillId="2" borderId="3" xfId="3" applyNumberFormat="1" applyFont="1" applyFill="1" applyBorder="1" applyAlignment="1">
      <alignment horizontal="right" vertical="center" wrapText="1"/>
    </xf>
    <xf numFmtId="0" fontId="1" fillId="0" borderId="0" xfId="3" applyAlignment="1">
      <alignment horizontal="left" vertical="center"/>
    </xf>
    <xf numFmtId="3" fontId="1" fillId="7" borderId="0" xfId="3" applyNumberFormat="1" applyFill="1" applyAlignment="1">
      <alignment vertical="center"/>
    </xf>
    <xf numFmtId="0" fontId="25" fillId="4" borderId="3" xfId="3" applyFont="1" applyFill="1" applyBorder="1" applyAlignment="1">
      <alignment horizontal="left" vertical="center"/>
    </xf>
    <xf numFmtId="0" fontId="25" fillId="4" borderId="1" xfId="3" applyFont="1" applyFill="1" applyBorder="1" applyAlignment="1">
      <alignment horizontal="left" vertical="center"/>
    </xf>
    <xf numFmtId="3" fontId="26" fillId="5" borderId="3" xfId="3" applyNumberFormat="1" applyFont="1" applyFill="1" applyBorder="1" applyAlignment="1">
      <alignment horizontal="right" vertical="center" wrapText="1"/>
    </xf>
    <xf numFmtId="0" fontId="26" fillId="4" borderId="0" xfId="3" applyFont="1" applyFill="1" applyAlignment="1">
      <alignment horizontal="left" vertical="center"/>
    </xf>
    <xf numFmtId="0" fontId="26" fillId="4" borderId="5" xfId="3" applyFont="1" applyFill="1" applyBorder="1" applyAlignment="1">
      <alignment horizontal="left" vertical="center"/>
    </xf>
    <xf numFmtId="3" fontId="26" fillId="0" borderId="0" xfId="3" applyNumberFormat="1" applyFont="1" applyAlignment="1">
      <alignment horizontal="right" vertical="center" wrapText="1"/>
    </xf>
    <xf numFmtId="3" fontId="39" fillId="0" borderId="0" xfId="3" applyNumberFormat="1" applyFont="1" applyAlignment="1">
      <alignment vertical="center"/>
    </xf>
    <xf numFmtId="168" fontId="39" fillId="7" borderId="0" xfId="3" applyNumberFormat="1" applyFont="1" applyFill="1" applyAlignment="1">
      <alignment vertical="center"/>
    </xf>
    <xf numFmtId="0" fontId="26" fillId="4" borderId="0" xfId="3" applyFont="1" applyFill="1" applyAlignment="1">
      <alignment horizontal="right" vertical="center"/>
    </xf>
    <xf numFmtId="0" fontId="25" fillId="4" borderId="3" xfId="3" applyFont="1" applyFill="1" applyBorder="1" applyAlignment="1">
      <alignment horizontal="right" vertical="center"/>
    </xf>
    <xf numFmtId="0" fontId="39" fillId="0" borderId="0" xfId="3" applyFont="1" applyAlignment="1">
      <alignment vertical="center"/>
    </xf>
    <xf numFmtId="3" fontId="26" fillId="5" borderId="0" xfId="3" applyNumberFormat="1" applyFont="1" applyFill="1" applyAlignment="1">
      <alignment horizontal="right" vertical="center" wrapText="1"/>
    </xf>
    <xf numFmtId="0" fontId="26" fillId="4" borderId="5" xfId="3" applyFont="1" applyFill="1" applyBorder="1" applyAlignment="1">
      <alignment horizontal="right" vertical="center"/>
    </xf>
    <xf numFmtId="3" fontId="26" fillId="0" borderId="3" xfId="3" applyNumberFormat="1" applyFont="1" applyBorder="1" applyAlignment="1">
      <alignment horizontal="right" vertical="center" wrapText="1"/>
    </xf>
    <xf numFmtId="0" fontId="26" fillId="4" borderId="1" xfId="3" applyFont="1" applyFill="1" applyBorder="1" applyAlignment="1">
      <alignment horizontal="left" vertical="center"/>
    </xf>
    <xf numFmtId="0" fontId="26" fillId="4" borderId="4" xfId="3" applyFont="1" applyFill="1" applyBorder="1" applyAlignment="1">
      <alignment horizontal="right" vertical="center"/>
    </xf>
    <xf numFmtId="0" fontId="26" fillId="0" borderId="1" xfId="3" applyFont="1" applyBorder="1" applyAlignment="1">
      <alignment horizontal="right" vertical="center" wrapText="1"/>
    </xf>
    <xf numFmtId="0" fontId="26" fillId="5" borderId="1" xfId="3" applyFont="1" applyFill="1" applyBorder="1" applyAlignment="1">
      <alignment horizontal="right" vertical="center" wrapText="1"/>
    </xf>
    <xf numFmtId="168" fontId="1" fillId="0" borderId="0" xfId="3" applyNumberFormat="1" applyAlignment="1">
      <alignment vertical="center"/>
    </xf>
    <xf numFmtId="0" fontId="26" fillId="4" borderId="3" xfId="3" applyFont="1" applyFill="1" applyBorder="1" applyAlignment="1">
      <alignment horizontal="right" vertical="center"/>
    </xf>
    <xf numFmtId="0" fontId="39" fillId="7" borderId="0" xfId="3" applyFont="1" applyFill="1" applyAlignment="1">
      <alignment vertical="center"/>
    </xf>
    <xf numFmtId="0" fontId="43" fillId="4" borderId="5" xfId="3" applyFont="1" applyFill="1" applyBorder="1" applyAlignment="1">
      <alignment horizontal="left" vertical="center"/>
    </xf>
    <xf numFmtId="0" fontId="27" fillId="4" borderId="3" xfId="3" applyFont="1" applyFill="1" applyBorder="1" applyAlignment="1">
      <alignment horizontal="right" vertical="center"/>
    </xf>
    <xf numFmtId="0" fontId="26" fillId="0" borderId="3" xfId="3" applyFont="1" applyBorder="1" applyAlignment="1">
      <alignment horizontal="right" vertical="center" wrapText="1"/>
    </xf>
    <xf numFmtId="0" fontId="27" fillId="4" borderId="5" xfId="3" applyFont="1" applyFill="1" applyBorder="1" applyAlignment="1">
      <alignment horizontal="left" vertical="center"/>
    </xf>
    <xf numFmtId="168" fontId="26" fillId="0" borderId="0" xfId="3" applyNumberFormat="1" applyFont="1" applyAlignment="1">
      <alignment horizontal="center" vertical="center" wrapText="1"/>
    </xf>
    <xf numFmtId="3" fontId="26" fillId="2" borderId="3" xfId="3" applyNumberFormat="1" applyFont="1" applyFill="1" applyBorder="1" applyAlignment="1">
      <alignment horizontal="right" vertical="center" wrapText="1"/>
    </xf>
    <xf numFmtId="168" fontId="26" fillId="0" borderId="3" xfId="3" applyNumberFormat="1" applyFont="1" applyBorder="1" applyAlignment="1">
      <alignment horizontal="center" vertical="center" wrapText="1"/>
    </xf>
    <xf numFmtId="168" fontId="26" fillId="2" borderId="0" xfId="3" applyNumberFormat="1" applyFont="1" applyFill="1" applyAlignment="1">
      <alignment horizontal="center" vertical="center" wrapText="1"/>
    </xf>
    <xf numFmtId="3" fontId="26" fillId="2" borderId="0" xfId="3" applyNumberFormat="1" applyFont="1" applyFill="1" applyAlignment="1">
      <alignment horizontal="right" vertical="center" wrapText="1"/>
    </xf>
    <xf numFmtId="0" fontId="27" fillId="4" borderId="6" xfId="3" applyFont="1" applyFill="1" applyBorder="1" applyAlignment="1">
      <alignment horizontal="left" vertical="center"/>
    </xf>
    <xf numFmtId="168" fontId="26" fillId="0" borderId="6" xfId="3" applyNumberFormat="1" applyFont="1" applyBorder="1" applyAlignment="1">
      <alignment horizontal="center" vertical="center" wrapText="1"/>
    </xf>
    <xf numFmtId="3" fontId="27" fillId="2" borderId="19" xfId="3" applyNumberFormat="1" applyFont="1" applyFill="1" applyBorder="1" applyAlignment="1">
      <alignment horizontal="right" vertical="center" wrapText="1"/>
    </xf>
    <xf numFmtId="168" fontId="26" fillId="0" borderId="4" xfId="3" applyNumberFormat="1" applyFont="1" applyBorder="1" applyAlignment="1">
      <alignment horizontal="center" vertical="center" wrapText="1"/>
    </xf>
    <xf numFmtId="3" fontId="26" fillId="2" borderId="4" xfId="3" applyNumberFormat="1" applyFont="1" applyFill="1" applyBorder="1" applyAlignment="1">
      <alignment horizontal="right" vertical="center" wrapText="1"/>
    </xf>
    <xf numFmtId="0" fontId="17" fillId="4" borderId="5" xfId="3" applyFont="1" applyFill="1" applyBorder="1" applyAlignment="1">
      <alignment horizontal="left" vertical="center"/>
    </xf>
    <xf numFmtId="3" fontId="43" fillId="0" borderId="1" xfId="3" applyNumberFormat="1" applyFont="1" applyBorder="1" applyAlignment="1">
      <alignment horizontal="right" vertical="center" wrapText="1"/>
    </xf>
    <xf numFmtId="3" fontId="43" fillId="2" borderId="6" xfId="3" applyNumberFormat="1" applyFont="1" applyFill="1" applyBorder="1" applyAlignment="1">
      <alignment horizontal="right" vertical="center" wrapText="1"/>
    </xf>
    <xf numFmtId="0" fontId="18" fillId="2" borderId="5" xfId="3" applyFont="1" applyFill="1" applyBorder="1" applyAlignment="1">
      <alignment horizontal="left" vertical="center"/>
    </xf>
    <xf numFmtId="0" fontId="18" fillId="2" borderId="0" xfId="3" applyFont="1" applyFill="1" applyAlignment="1">
      <alignment horizontal="left" vertical="center"/>
    </xf>
    <xf numFmtId="3" fontId="24" fillId="0" borderId="5" xfId="3" applyNumberFormat="1" applyFont="1" applyBorder="1" applyAlignment="1">
      <alignment horizontal="right" vertical="center" wrapText="1"/>
    </xf>
    <xf numFmtId="3" fontId="24" fillId="5" borderId="0" xfId="3" applyNumberFormat="1" applyFont="1" applyFill="1" applyAlignment="1">
      <alignment horizontal="right" vertical="center" wrapText="1"/>
    </xf>
    <xf numFmtId="0" fontId="13" fillId="5" borderId="0" xfId="3" applyFont="1" applyFill="1" applyAlignment="1">
      <alignment horizontal="left" vertical="center"/>
    </xf>
    <xf numFmtId="0" fontId="26" fillId="5" borderId="0" xfId="3" applyFont="1" applyFill="1" applyAlignment="1">
      <alignment horizontal="right" vertical="center" wrapText="1"/>
    </xf>
    <xf numFmtId="0" fontId="17" fillId="0" borderId="3" xfId="3" applyFont="1" applyBorder="1" applyAlignment="1">
      <alignment horizontal="right" vertical="center" wrapText="1"/>
    </xf>
    <xf numFmtId="0" fontId="17" fillId="0" borderId="1" xfId="3" applyFont="1" applyBorder="1" applyAlignment="1">
      <alignment horizontal="right" vertical="center" wrapText="1"/>
    </xf>
    <xf numFmtId="0" fontId="26" fillId="4" borderId="2" xfId="3" applyFont="1" applyFill="1" applyBorder="1" applyAlignment="1">
      <alignment horizontal="left" vertical="center"/>
    </xf>
    <xf numFmtId="3" fontId="26" fillId="5" borderId="2" xfId="3" applyNumberFormat="1" applyFont="1" applyFill="1" applyBorder="1" applyAlignment="1">
      <alignment horizontal="right" vertical="center" wrapText="1"/>
    </xf>
    <xf numFmtId="3" fontId="26" fillId="5" borderId="6" xfId="3" applyNumberFormat="1" applyFont="1" applyFill="1" applyBorder="1" applyAlignment="1">
      <alignment horizontal="right" vertical="center" wrapText="1"/>
    </xf>
    <xf numFmtId="3" fontId="26" fillId="5" borderId="1" xfId="3" applyNumberFormat="1" applyFont="1" applyFill="1" applyBorder="1" applyAlignment="1">
      <alignment horizontal="right" vertical="center" wrapText="1"/>
    </xf>
    <xf numFmtId="3" fontId="26" fillId="5" borderId="5" xfId="3" applyNumberFormat="1" applyFont="1" applyFill="1" applyBorder="1" applyAlignment="1">
      <alignment horizontal="right" vertical="center" wrapText="1"/>
    </xf>
    <xf numFmtId="2" fontId="28" fillId="0" borderId="0" xfId="5" applyNumberFormat="1" applyFont="1" applyFill="1" applyBorder="1" applyAlignment="1">
      <alignment horizontal="right" vertical="center" wrapText="1"/>
    </xf>
    <xf numFmtId="2" fontId="28" fillId="0" borderId="0" xfId="3" applyNumberFormat="1" applyFont="1" applyAlignment="1">
      <alignment horizontal="right" vertical="center" wrapText="1"/>
    </xf>
    <xf numFmtId="2" fontId="26" fillId="0" borderId="0" xfId="3" applyNumberFormat="1" applyFont="1" applyAlignment="1">
      <alignment horizontal="right" vertical="center" wrapText="1"/>
    </xf>
    <xf numFmtId="2" fontId="28" fillId="0" borderId="2" xfId="3" applyNumberFormat="1" applyFont="1" applyBorder="1" applyAlignment="1">
      <alignment horizontal="right" vertical="center" wrapText="1"/>
    </xf>
    <xf numFmtId="0" fontId="46" fillId="0" borderId="0" xfId="6" applyFont="1" applyAlignment="1">
      <alignment wrapText="1"/>
    </xf>
    <xf numFmtId="0" fontId="46" fillId="0" borderId="0" xfId="6" applyFont="1"/>
    <xf numFmtId="0" fontId="31" fillId="0" borderId="0" xfId="3" applyFont="1"/>
    <xf numFmtId="0" fontId="31" fillId="2" borderId="0" xfId="3" applyFont="1" applyFill="1"/>
    <xf numFmtId="0" fontId="17" fillId="0" borderId="19" xfId="3" applyFont="1" applyBorder="1" applyAlignment="1">
      <alignment horizontal="right" vertical="center" wrapText="1"/>
    </xf>
    <xf numFmtId="0" fontId="17" fillId="0" borderId="6" xfId="3" applyFont="1" applyBorder="1" applyAlignment="1">
      <alignment horizontal="right" vertical="center" wrapText="1"/>
    </xf>
    <xf numFmtId="0" fontId="43" fillId="4" borderId="3" xfId="3" applyFont="1" applyFill="1" applyBorder="1" applyAlignment="1">
      <alignment horizontal="left" vertical="center"/>
    </xf>
    <xf numFmtId="164" fontId="43" fillId="5" borderId="0" xfId="3" applyNumberFormat="1" applyFont="1" applyFill="1" applyAlignment="1">
      <alignment horizontal="right" vertical="center" wrapText="1"/>
    </xf>
    <xf numFmtId="164" fontId="43" fillId="5" borderId="6" xfId="3" applyNumberFormat="1" applyFont="1" applyFill="1" applyBorder="1" applyAlignment="1">
      <alignment horizontal="right" vertical="center" wrapText="1"/>
    </xf>
    <xf numFmtId="164" fontId="27" fillId="5" borderId="4" xfId="3" applyNumberFormat="1" applyFont="1" applyFill="1" applyBorder="1" applyAlignment="1">
      <alignment horizontal="right" vertical="center" wrapText="1"/>
    </xf>
    <xf numFmtId="164" fontId="27" fillId="5" borderId="6" xfId="3" applyNumberFormat="1" applyFont="1" applyFill="1" applyBorder="1" applyAlignment="1">
      <alignment horizontal="right" vertical="center" wrapText="1"/>
    </xf>
    <xf numFmtId="2" fontId="30" fillId="5" borderId="0" xfId="5" applyNumberFormat="1" applyFont="1" applyFill="1" applyBorder="1" applyAlignment="1">
      <alignment horizontal="right" vertical="center" wrapText="1"/>
    </xf>
    <xf numFmtId="164" fontId="27" fillId="0" borderId="1" xfId="3" applyNumberFormat="1" applyFont="1" applyBorder="1" applyAlignment="1">
      <alignment horizontal="right" vertical="center" wrapText="1"/>
    </xf>
    <xf numFmtId="164" fontId="27" fillId="0" borderId="0" xfId="3" applyNumberFormat="1" applyFont="1" applyAlignment="1">
      <alignment horizontal="right" vertical="center" wrapText="1"/>
    </xf>
    <xf numFmtId="0" fontId="17" fillId="4" borderId="6" xfId="3" applyFont="1" applyFill="1" applyBorder="1" applyAlignment="1">
      <alignment horizontal="left" vertical="center"/>
    </xf>
    <xf numFmtId="0" fontId="43" fillId="4" borderId="6" xfId="3" applyFont="1" applyFill="1" applyBorder="1" applyAlignment="1">
      <alignment horizontal="left" vertical="center"/>
    </xf>
    <xf numFmtId="164" fontId="43" fillId="0" borderId="6" xfId="3" applyNumberFormat="1" applyFont="1" applyBorder="1" applyAlignment="1">
      <alignment horizontal="right" vertical="center" wrapText="1"/>
    </xf>
    <xf numFmtId="0" fontId="17" fillId="4" borderId="2" xfId="3" applyFont="1" applyFill="1" applyBorder="1" applyAlignment="1">
      <alignment horizontal="left" vertical="center"/>
    </xf>
    <xf numFmtId="164" fontId="17" fillId="0" borderId="6" xfId="3" applyNumberFormat="1" applyFont="1" applyBorder="1" applyAlignment="1">
      <alignment horizontal="right" vertical="center" wrapText="1"/>
    </xf>
    <xf numFmtId="164" fontId="17" fillId="0" borderId="0" xfId="3" applyNumberFormat="1" applyFont="1" applyAlignment="1">
      <alignment horizontal="right" vertical="center" wrapText="1"/>
    </xf>
    <xf numFmtId="0" fontId="1" fillId="0" borderId="5" xfId="3" applyBorder="1"/>
    <xf numFmtId="0" fontId="1" fillId="0" borderId="1" xfId="3" applyBorder="1"/>
    <xf numFmtId="0" fontId="17" fillId="0" borderId="2" xfId="3" applyFont="1" applyBorder="1" applyAlignment="1">
      <alignment horizontal="right" vertical="center" wrapText="1"/>
    </xf>
    <xf numFmtId="0" fontId="43" fillId="4" borderId="5" xfId="3" applyFont="1" applyFill="1" applyBorder="1" applyAlignment="1">
      <alignment horizontal="left" vertical="center" wrapText="1"/>
    </xf>
    <xf numFmtId="0" fontId="43" fillId="0" borderId="6" xfId="3" applyFont="1" applyBorder="1" applyAlignment="1">
      <alignment horizontal="right" vertical="center" wrapText="1"/>
    </xf>
    <xf numFmtId="0" fontId="43" fillId="5" borderId="3" xfId="3" applyFont="1" applyFill="1" applyBorder="1" applyAlignment="1">
      <alignment horizontal="right" vertical="center" wrapText="1"/>
    </xf>
    <xf numFmtId="0" fontId="26" fillId="4" borderId="6" xfId="3" applyFont="1" applyFill="1" applyBorder="1" applyAlignment="1">
      <alignment horizontal="left" vertical="center" wrapText="1"/>
    </xf>
    <xf numFmtId="3" fontId="28" fillId="0" borderId="6" xfId="3" applyNumberFormat="1" applyFont="1" applyBorder="1" applyAlignment="1">
      <alignment horizontal="right" vertical="center" wrapText="1"/>
    </xf>
    <xf numFmtId="0" fontId="26" fillId="4" borderId="5" xfId="3" applyFont="1" applyFill="1" applyBorder="1" applyAlignment="1">
      <alignment horizontal="left" vertical="center" wrapText="1"/>
    </xf>
    <xf numFmtId="0" fontId="27" fillId="4" borderId="5" xfId="3" applyFont="1" applyFill="1" applyBorder="1" applyAlignment="1">
      <alignment horizontal="left" vertical="center" wrapText="1"/>
    </xf>
    <xf numFmtId="0" fontId="27" fillId="4" borderId="0" xfId="3" applyFont="1" applyFill="1" applyAlignment="1">
      <alignment horizontal="left" vertical="center" wrapText="1"/>
    </xf>
    <xf numFmtId="0" fontId="26" fillId="0" borderId="0" xfId="3" applyFont="1" applyAlignment="1">
      <alignment horizontal="right" vertical="center" wrapText="1"/>
    </xf>
    <xf numFmtId="0" fontId="26" fillId="12" borderId="0" xfId="3" applyFont="1" applyFill="1" applyAlignment="1">
      <alignment horizontal="left" vertical="center" wrapText="1"/>
    </xf>
    <xf numFmtId="3" fontId="28" fillId="0" borderId="0" xfId="3" applyNumberFormat="1" applyFont="1" applyAlignment="1">
      <alignment horizontal="right" vertical="center" wrapText="1"/>
    </xf>
    <xf numFmtId="0" fontId="27" fillId="4" borderId="7" xfId="3" applyFont="1" applyFill="1" applyBorder="1" applyAlignment="1">
      <alignment horizontal="left" vertical="center" wrapText="1"/>
    </xf>
    <xf numFmtId="168" fontId="26" fillId="0" borderId="0" xfId="3" applyNumberFormat="1" applyFont="1" applyAlignment="1">
      <alignment horizontal="right" vertical="center" wrapText="1"/>
    </xf>
    <xf numFmtId="0" fontId="27" fillId="4" borderId="6" xfId="3" applyFont="1" applyFill="1" applyBorder="1" applyAlignment="1">
      <alignment horizontal="left" vertical="center" wrapText="1"/>
    </xf>
    <xf numFmtId="3" fontId="26" fillId="0" borderId="5" xfId="3" applyNumberFormat="1" applyFont="1" applyBorder="1" applyAlignment="1">
      <alignment horizontal="right" vertical="center" wrapText="1"/>
    </xf>
    <xf numFmtId="0" fontId="25" fillId="4" borderId="4" xfId="3" applyFont="1" applyFill="1" applyBorder="1" applyAlignment="1">
      <alignment horizontal="left" vertical="center" wrapText="1"/>
    </xf>
    <xf numFmtId="3" fontId="26" fillId="5" borderId="4" xfId="3" applyNumberFormat="1" applyFont="1" applyFill="1" applyBorder="1" applyAlignment="1">
      <alignment horizontal="right" vertical="center" wrapText="1"/>
    </xf>
    <xf numFmtId="0" fontId="43" fillId="5" borderId="5" xfId="3" applyFont="1" applyFill="1" applyBorder="1" applyAlignment="1">
      <alignment horizontal="right" vertical="center" wrapText="1"/>
    </xf>
    <xf numFmtId="0" fontId="43" fillId="5" borderId="0" xfId="3" applyFont="1" applyFill="1" applyAlignment="1">
      <alignment horizontal="right" vertical="center" wrapText="1"/>
    </xf>
    <xf numFmtId="0" fontId="43" fillId="4" borderId="7" xfId="3" applyFont="1" applyFill="1" applyBorder="1" applyAlignment="1">
      <alignment horizontal="left" vertical="center" wrapText="1"/>
    </xf>
    <xf numFmtId="0" fontId="43" fillId="5" borderId="2" xfId="3" applyFont="1" applyFill="1" applyBorder="1" applyAlignment="1">
      <alignment horizontal="right" vertical="center" wrapText="1"/>
    </xf>
    <xf numFmtId="168" fontId="26" fillId="5" borderId="0" xfId="3" applyNumberFormat="1" applyFont="1" applyFill="1" applyAlignment="1">
      <alignment horizontal="right" vertical="center" wrapText="1"/>
    </xf>
    <xf numFmtId="0" fontId="25" fillId="4" borderId="5" xfId="3" applyFont="1" applyFill="1" applyBorder="1" applyAlignment="1">
      <alignment horizontal="left" vertical="center" wrapText="1"/>
    </xf>
    <xf numFmtId="0" fontId="26" fillId="5" borderId="6" xfId="3" applyFont="1" applyFill="1" applyBorder="1" applyAlignment="1">
      <alignment horizontal="right" vertical="center" wrapText="1"/>
    </xf>
    <xf numFmtId="0" fontId="26" fillId="5" borderId="3" xfId="3" applyFont="1" applyFill="1" applyBorder="1" applyAlignment="1">
      <alignment horizontal="right" vertical="center" wrapText="1"/>
    </xf>
    <xf numFmtId="0" fontId="27" fillId="6" borderId="7" xfId="3" applyFont="1" applyFill="1" applyBorder="1" applyAlignment="1">
      <alignment horizontal="left" vertical="center" wrapText="1"/>
    </xf>
    <xf numFmtId="0" fontId="25" fillId="4" borderId="6" xfId="3" applyFont="1" applyFill="1" applyBorder="1" applyAlignment="1">
      <alignment horizontal="left" vertical="center" wrapText="1"/>
    </xf>
    <xf numFmtId="0" fontId="26" fillId="4" borderId="0" xfId="3" applyFont="1" applyFill="1" applyAlignment="1">
      <alignment horizontal="left" vertical="center" wrapText="1"/>
    </xf>
    <xf numFmtId="165" fontId="26" fillId="0" borderId="0" xfId="3" applyNumberFormat="1" applyFont="1" applyAlignment="1">
      <alignment horizontal="right" vertical="center" wrapText="1"/>
    </xf>
    <xf numFmtId="165" fontId="26" fillId="5" borderId="0" xfId="3" applyNumberFormat="1" applyFont="1" applyFill="1" applyAlignment="1">
      <alignment horizontal="right" vertical="center" wrapText="1"/>
    </xf>
    <xf numFmtId="0" fontId="17" fillId="4" borderId="5" xfId="3" applyFont="1" applyFill="1" applyBorder="1" applyAlignment="1">
      <alignment horizontal="left" vertical="center" wrapText="1"/>
    </xf>
    <xf numFmtId="3" fontId="43" fillId="5" borderId="6" xfId="3" applyNumberFormat="1" applyFont="1" applyFill="1" applyBorder="1" applyAlignment="1">
      <alignment horizontal="right" vertical="center" wrapText="1"/>
    </xf>
    <xf numFmtId="3" fontId="43" fillId="5" borderId="1" xfId="3" applyNumberFormat="1" applyFont="1" applyFill="1" applyBorder="1" applyAlignment="1">
      <alignment horizontal="right" vertical="center" wrapText="1"/>
    </xf>
    <xf numFmtId="0" fontId="1" fillId="0" borderId="5" xfId="3" applyBorder="1" applyAlignment="1">
      <alignment wrapText="1"/>
    </xf>
    <xf numFmtId="0" fontId="1" fillId="0" borderId="0" xfId="3" applyAlignment="1">
      <alignment wrapText="1"/>
    </xf>
    <xf numFmtId="0" fontId="33" fillId="2" borderId="0" xfId="3" applyFont="1" applyFill="1"/>
    <xf numFmtId="0" fontId="47" fillId="6" borderId="1" xfId="3" applyFont="1" applyFill="1" applyBorder="1" applyAlignment="1">
      <alignment vertical="center"/>
    </xf>
    <xf numFmtId="0" fontId="48" fillId="0" borderId="0" xfId="3" applyFont="1"/>
    <xf numFmtId="0" fontId="47" fillId="6" borderId="7" xfId="3" applyFont="1" applyFill="1" applyBorder="1" applyAlignment="1">
      <alignment vertical="center"/>
    </xf>
    <xf numFmtId="0" fontId="43" fillId="0" borderId="20" xfId="3" applyFont="1" applyBorder="1" applyAlignment="1">
      <alignment horizontal="right" wrapText="1"/>
    </xf>
    <xf numFmtId="0" fontId="43" fillId="0" borderId="3" xfId="3" applyFont="1" applyBorder="1" applyAlignment="1">
      <alignment horizontal="right" wrapText="1"/>
    </xf>
    <xf numFmtId="0" fontId="43" fillId="0" borderId="21" xfId="3" applyFont="1" applyBorder="1" applyAlignment="1">
      <alignment horizontal="right" wrapText="1"/>
    </xf>
    <xf numFmtId="0" fontId="27" fillId="4" borderId="11" xfId="3" applyFont="1" applyFill="1" applyBorder="1" applyAlignment="1">
      <alignment horizontal="left" vertical="center"/>
    </xf>
    <xf numFmtId="169" fontId="26" fillId="0" borderId="8" xfId="3" applyNumberFormat="1" applyFont="1" applyBorder="1" applyAlignment="1">
      <alignment horizontal="right" vertical="center" wrapText="1"/>
    </xf>
    <xf numFmtId="169" fontId="26" fillId="0" borderId="3" xfId="3" applyNumberFormat="1" applyFont="1" applyBorder="1" applyAlignment="1">
      <alignment horizontal="right" vertical="center" wrapText="1"/>
    </xf>
    <xf numFmtId="169" fontId="26" fillId="0" borderId="13" xfId="3" applyNumberFormat="1" applyFont="1" applyBorder="1" applyAlignment="1">
      <alignment horizontal="right" vertical="center" wrapText="1"/>
    </xf>
    <xf numFmtId="0" fontId="27" fillId="4" borderId="22" xfId="3" applyFont="1" applyFill="1" applyBorder="1" applyAlignment="1">
      <alignment horizontal="left" vertical="center"/>
    </xf>
    <xf numFmtId="169" fontId="26" fillId="0" borderId="0" xfId="3" applyNumberFormat="1" applyFont="1" applyAlignment="1">
      <alignment horizontal="right" vertical="center" wrapText="1"/>
    </xf>
    <xf numFmtId="169" fontId="26" fillId="0" borderId="23" xfId="3" applyNumberFormat="1" applyFont="1" applyBorder="1" applyAlignment="1">
      <alignment horizontal="right" vertical="center" wrapText="1"/>
    </xf>
    <xf numFmtId="0" fontId="27" fillId="4" borderId="24" xfId="3" applyFont="1" applyFill="1" applyBorder="1" applyAlignment="1">
      <alignment horizontal="left" vertical="center"/>
    </xf>
    <xf numFmtId="169" fontId="26" fillId="0" borderId="2" xfId="3" applyNumberFormat="1" applyFont="1" applyBorder="1" applyAlignment="1">
      <alignment horizontal="right" vertical="center" wrapText="1"/>
    </xf>
    <xf numFmtId="169" fontId="26" fillId="0" borderId="15" xfId="3" applyNumberFormat="1" applyFont="1" applyBorder="1" applyAlignment="1">
      <alignment horizontal="right" vertical="center" wrapText="1"/>
    </xf>
    <xf numFmtId="169" fontId="26" fillId="0" borderId="1" xfId="3" applyNumberFormat="1" applyFont="1" applyBorder="1" applyAlignment="1">
      <alignment horizontal="right" vertical="center" wrapText="1"/>
    </xf>
    <xf numFmtId="169" fontId="26" fillId="0" borderId="9" xfId="3" applyNumberFormat="1" applyFont="1" applyBorder="1" applyAlignment="1">
      <alignment horizontal="right" vertical="center" wrapText="1"/>
    </xf>
    <xf numFmtId="0" fontId="27" fillId="4" borderId="1" xfId="3" applyFont="1" applyFill="1" applyBorder="1" applyAlignment="1">
      <alignment horizontal="left" vertical="center"/>
    </xf>
    <xf numFmtId="169" fontId="26" fillId="0" borderId="11" xfId="3" applyNumberFormat="1" applyFont="1" applyBorder="1" applyAlignment="1">
      <alignment horizontal="right" vertical="center" wrapText="1"/>
    </xf>
    <xf numFmtId="0" fontId="27" fillId="4" borderId="0" xfId="3" applyFont="1" applyFill="1" applyAlignment="1">
      <alignment horizontal="left" vertical="center"/>
    </xf>
    <xf numFmtId="169" fontId="26" fillId="0" borderId="12" xfId="3" applyNumberFormat="1" applyFont="1" applyBorder="1" applyAlignment="1">
      <alignment horizontal="right" vertical="center" wrapText="1"/>
    </xf>
    <xf numFmtId="169" fontId="26" fillId="0" borderId="14" xfId="3" applyNumberFormat="1" applyFont="1" applyBorder="1" applyAlignment="1">
      <alignment horizontal="right" vertical="center" wrapText="1"/>
    </xf>
    <xf numFmtId="0" fontId="27" fillId="4" borderId="25" xfId="3" applyFont="1" applyFill="1" applyBorder="1" applyAlignment="1">
      <alignment horizontal="left" vertical="center"/>
    </xf>
    <xf numFmtId="169" fontId="26" fillId="0" borderId="19" xfId="3" applyNumberFormat="1" applyFont="1" applyBorder="1" applyAlignment="1">
      <alignment horizontal="right" vertical="center" wrapText="1"/>
    </xf>
    <xf numFmtId="169" fontId="26" fillId="0" borderId="26" xfId="3" applyNumberFormat="1" applyFont="1" applyBorder="1" applyAlignment="1">
      <alignment horizontal="right" vertical="center" wrapText="1"/>
    </xf>
    <xf numFmtId="169" fontId="26" fillId="0" borderId="27" xfId="3" applyNumberFormat="1" applyFont="1" applyBorder="1" applyAlignment="1">
      <alignment horizontal="right" vertical="center" wrapText="1"/>
    </xf>
    <xf numFmtId="169" fontId="26" fillId="0" borderId="6" xfId="3" applyNumberFormat="1" applyFont="1" applyBorder="1" applyAlignment="1">
      <alignment horizontal="right" vertical="center" wrapText="1"/>
    </xf>
    <xf numFmtId="169" fontId="26" fillId="0" borderId="25" xfId="3" applyNumberFormat="1" applyFont="1" applyBorder="1" applyAlignment="1">
      <alignment horizontal="right" vertical="center" wrapText="1"/>
    </xf>
    <xf numFmtId="169" fontId="26" fillId="0" borderId="28" xfId="3" applyNumberFormat="1" applyFont="1" applyBorder="1" applyAlignment="1">
      <alignment horizontal="right" vertical="center" wrapText="1"/>
    </xf>
    <xf numFmtId="0" fontId="1" fillId="0" borderId="0" xfId="3" applyAlignment="1">
      <alignment horizontal="left"/>
    </xf>
    <xf numFmtId="169" fontId="26" fillId="0" borderId="29" xfId="3" applyNumberFormat="1" applyFont="1" applyBorder="1" applyAlignment="1">
      <alignment horizontal="right" vertical="center" wrapText="1"/>
    </xf>
    <xf numFmtId="169" fontId="26" fillId="0" borderId="4" xfId="3" applyNumberFormat="1" applyFont="1" applyBorder="1" applyAlignment="1">
      <alignment horizontal="right" vertical="center" wrapText="1"/>
    </xf>
    <xf numFmtId="0" fontId="48" fillId="0" borderId="0" xfId="3" applyFont="1" applyAlignment="1">
      <alignment vertical="center"/>
    </xf>
    <xf numFmtId="169" fontId="26" fillId="0" borderId="30" xfId="3" applyNumberFormat="1" applyFont="1" applyBorder="1" applyAlignment="1">
      <alignment horizontal="right" vertical="center" wrapText="1"/>
    </xf>
    <xf numFmtId="3" fontId="48" fillId="0" borderId="0" xfId="3" applyNumberFormat="1" applyFont="1" applyAlignment="1">
      <alignment vertical="center"/>
    </xf>
    <xf numFmtId="0" fontId="27" fillId="4" borderId="31" xfId="3" applyFont="1" applyFill="1" applyBorder="1" applyAlignment="1">
      <alignment horizontal="left" vertical="center"/>
    </xf>
    <xf numFmtId="169" fontId="26" fillId="0" borderId="10" xfId="3" applyNumberFormat="1" applyFont="1" applyBorder="1" applyAlignment="1">
      <alignment horizontal="right" vertical="center" wrapText="1"/>
    </xf>
    <xf numFmtId="169" fontId="26" fillId="0" borderId="7" xfId="3" applyNumberFormat="1" applyFont="1" applyBorder="1" applyAlignment="1">
      <alignment horizontal="right" vertical="center" wrapText="1"/>
    </xf>
    <xf numFmtId="169" fontId="26" fillId="0" borderId="5" xfId="3" applyNumberFormat="1" applyFont="1" applyBorder="1" applyAlignment="1">
      <alignment horizontal="right" vertical="center" wrapText="1"/>
    </xf>
    <xf numFmtId="169" fontId="26" fillId="0" borderId="22" xfId="3" applyNumberFormat="1" applyFont="1" applyBorder="1" applyAlignment="1">
      <alignment horizontal="right" vertical="center" wrapText="1"/>
    </xf>
    <xf numFmtId="0" fontId="43" fillId="4" borderId="0" xfId="3" applyFont="1" applyFill="1" applyAlignment="1">
      <alignment horizontal="left" vertical="center"/>
    </xf>
    <xf numFmtId="169" fontId="26" fillId="0" borderId="32" xfId="3" applyNumberFormat="1" applyFont="1" applyBorder="1" applyAlignment="1">
      <alignment horizontal="right" vertical="center" wrapText="1"/>
    </xf>
    <xf numFmtId="169" fontId="26" fillId="0" borderId="31" xfId="3" applyNumberFormat="1" applyFont="1" applyBorder="1" applyAlignment="1">
      <alignment horizontal="right" vertical="center" wrapText="1"/>
    </xf>
    <xf numFmtId="0" fontId="10" fillId="4" borderId="1" xfId="1" applyFont="1" applyFill="1" applyBorder="1" applyAlignment="1">
      <alignment horizontal="left" vertical="center"/>
    </xf>
    <xf numFmtId="0" fontId="10" fillId="4" borderId="2" xfId="1" applyFont="1" applyFill="1" applyBorder="1" applyAlignment="1">
      <alignment horizontal="left" vertical="center"/>
    </xf>
    <xf numFmtId="0" fontId="10" fillId="4" borderId="1" xfId="1" applyFont="1" applyFill="1" applyBorder="1" applyAlignment="1">
      <alignment horizontal="right" vertical="center"/>
    </xf>
    <xf numFmtId="0" fontId="10" fillId="4" borderId="2" xfId="1" applyFont="1" applyFill="1" applyBorder="1" applyAlignment="1">
      <alignment horizontal="right" vertical="center"/>
    </xf>
    <xf numFmtId="0" fontId="10" fillId="5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9" fillId="3" borderId="0" xfId="1" applyFont="1" applyFill="1" applyAlignment="1">
      <alignment horizontal="left" vertical="center" wrapText="1"/>
    </xf>
    <xf numFmtId="164" fontId="26" fillId="0" borderId="1" xfId="1" applyNumberFormat="1" applyFont="1" applyBorder="1" applyAlignment="1">
      <alignment horizontal="right" vertical="center" wrapText="1"/>
    </xf>
    <xf numFmtId="164" fontId="26" fillId="0" borderId="0" xfId="1" applyNumberFormat="1" applyFont="1" applyAlignment="1">
      <alignment horizontal="right" vertical="center" wrapText="1"/>
    </xf>
    <xf numFmtId="164" fontId="26" fillId="5" borderId="1" xfId="1" applyNumberFormat="1" applyFont="1" applyFill="1" applyBorder="1" applyAlignment="1">
      <alignment horizontal="right" vertical="center" wrapText="1"/>
    </xf>
    <xf numFmtId="164" fontId="26" fillId="5" borderId="0" xfId="1" applyNumberFormat="1" applyFont="1" applyFill="1" applyAlignment="1">
      <alignment horizontal="right" vertical="center" wrapText="1"/>
    </xf>
    <xf numFmtId="0" fontId="17" fillId="4" borderId="4" xfId="1" applyFont="1" applyFill="1" applyBorder="1" applyAlignment="1">
      <alignment horizontal="left" vertical="center" wrapText="1"/>
    </xf>
    <xf numFmtId="0" fontId="17" fillId="4" borderId="1" xfId="1" applyFont="1" applyFill="1" applyBorder="1" applyAlignment="1">
      <alignment horizontal="left" vertical="center" wrapText="1"/>
    </xf>
    <xf numFmtId="0" fontId="23" fillId="4" borderId="5" xfId="1" applyFont="1" applyFill="1" applyBorder="1" applyAlignment="1">
      <alignment horizontal="right" vertical="center"/>
    </xf>
    <xf numFmtId="0" fontId="23" fillId="4" borderId="0" xfId="1" applyFont="1" applyFill="1" applyAlignment="1">
      <alignment horizontal="right" vertical="center"/>
    </xf>
    <xf numFmtId="0" fontId="17" fillId="5" borderId="6" xfId="1" applyFont="1" applyFill="1" applyBorder="1" applyAlignment="1">
      <alignment horizontal="center" vertical="center" wrapText="1"/>
    </xf>
    <xf numFmtId="0" fontId="18" fillId="4" borderId="3" xfId="1" applyFont="1" applyFill="1" applyBorder="1" applyAlignment="1">
      <alignment horizontal="left" vertical="center" wrapText="1"/>
    </xf>
    <xf numFmtId="0" fontId="18" fillId="4" borderId="1" xfId="1" applyFont="1" applyFill="1" applyBorder="1" applyAlignment="1">
      <alignment horizontal="right" vertical="center" wrapText="1"/>
    </xf>
    <xf numFmtId="0" fontId="18" fillId="4" borderId="2" xfId="1" applyFont="1" applyFill="1" applyBorder="1" applyAlignment="1">
      <alignment horizontal="right" vertical="center" wrapText="1"/>
    </xf>
    <xf numFmtId="0" fontId="18" fillId="5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left" vertical="center" wrapText="1"/>
    </xf>
    <xf numFmtId="0" fontId="9" fillId="3" borderId="2" xfId="1" applyFont="1" applyFill="1" applyBorder="1" applyAlignment="1">
      <alignment vertical="center" wrapText="1"/>
    </xf>
    <xf numFmtId="0" fontId="28" fillId="4" borderId="3" xfId="1" applyFont="1" applyFill="1" applyBorder="1" applyAlignment="1">
      <alignment horizontal="left" vertical="center" wrapText="1"/>
    </xf>
    <xf numFmtId="0" fontId="24" fillId="5" borderId="3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left" vertical="center" wrapText="1"/>
    </xf>
    <xf numFmtId="0" fontId="28" fillId="6" borderId="1" xfId="1" applyFont="1" applyFill="1" applyBorder="1" applyAlignment="1">
      <alignment horizontal="justify" vertical="center"/>
    </xf>
    <xf numFmtId="0" fontId="28" fillId="6" borderId="0" xfId="1" applyFont="1" applyFill="1" applyAlignment="1">
      <alignment horizontal="justify" vertical="center"/>
    </xf>
    <xf numFmtId="0" fontId="24" fillId="5" borderId="8" xfId="1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left" vertical="center" wrapText="1"/>
    </xf>
    <xf numFmtId="0" fontId="10" fillId="4" borderId="1" xfId="3" applyFont="1" applyFill="1" applyBorder="1" applyAlignment="1">
      <alignment horizontal="left" vertical="center"/>
    </xf>
    <xf numFmtId="0" fontId="10" fillId="4" borderId="2" xfId="3" applyFont="1" applyFill="1" applyBorder="1" applyAlignment="1">
      <alignment horizontal="left" vertical="center"/>
    </xf>
    <xf numFmtId="0" fontId="10" fillId="4" borderId="1" xfId="3" applyFont="1" applyFill="1" applyBorder="1" applyAlignment="1">
      <alignment horizontal="right" vertical="center"/>
    </xf>
    <xf numFmtId="0" fontId="10" fillId="4" borderId="2" xfId="3" applyFont="1" applyFill="1" applyBorder="1" applyAlignment="1">
      <alignment horizontal="right" vertical="center"/>
    </xf>
    <xf numFmtId="0" fontId="10" fillId="5" borderId="3" xfId="3" applyFont="1" applyFill="1" applyBorder="1" applyAlignment="1">
      <alignment horizontal="center" vertical="center" wrapText="1"/>
    </xf>
    <xf numFmtId="4" fontId="16" fillId="0" borderId="0" xfId="3" applyNumberFormat="1" applyFont="1" applyAlignment="1">
      <alignment horizontal="left" vertical="center" wrapText="1"/>
    </xf>
    <xf numFmtId="0" fontId="41" fillId="0" borderId="0" xfId="3" applyFont="1" applyAlignment="1">
      <alignment horizontal="left" vertical="center"/>
    </xf>
    <xf numFmtId="0" fontId="41" fillId="0" borderId="0" xfId="3" applyFont="1" applyAlignment="1">
      <alignment horizontal="right" vertical="center" wrapText="1"/>
    </xf>
    <xf numFmtId="0" fontId="3" fillId="2" borderId="0" xfId="3" applyFont="1" applyFill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8" fillId="0" borderId="0" xfId="3" applyFont="1" applyAlignment="1">
      <alignment horizontal="center" vertical="center" wrapText="1"/>
    </xf>
    <xf numFmtId="0" fontId="9" fillId="3" borderId="0" xfId="3" applyFont="1" applyFill="1" applyAlignment="1">
      <alignment horizontal="left" vertical="center" wrapText="1"/>
    </xf>
    <xf numFmtId="0" fontId="10" fillId="5" borderId="1" xfId="3" applyFont="1" applyFill="1" applyBorder="1" applyAlignment="1">
      <alignment horizontal="center" vertical="center" wrapText="1"/>
    </xf>
    <xf numFmtId="0" fontId="17" fillId="4" borderId="4" xfId="3" applyFont="1" applyFill="1" applyBorder="1" applyAlignment="1">
      <alignment horizontal="left" vertical="center" wrapText="1"/>
    </xf>
    <xf numFmtId="0" fontId="17" fillId="4" borderId="19" xfId="3" applyFont="1" applyFill="1" applyBorder="1" applyAlignment="1">
      <alignment horizontal="left" vertical="center" wrapText="1"/>
    </xf>
    <xf numFmtId="0" fontId="17" fillId="5" borderId="3" xfId="3" applyFont="1" applyFill="1" applyBorder="1" applyAlignment="1">
      <alignment horizontal="center" vertical="center" wrapText="1"/>
    </xf>
    <xf numFmtId="0" fontId="26" fillId="5" borderId="0" xfId="3" applyFont="1" applyFill="1" applyAlignment="1">
      <alignment horizontal="right" vertical="center" wrapText="1"/>
    </xf>
    <xf numFmtId="0" fontId="17" fillId="4" borderId="1" xfId="3" applyFont="1" applyFill="1" applyBorder="1" applyAlignment="1">
      <alignment horizontal="left" vertical="center" wrapText="1"/>
    </xf>
    <xf numFmtId="0" fontId="23" fillId="4" borderId="5" xfId="3" applyFont="1" applyFill="1" applyBorder="1" applyAlignment="1">
      <alignment horizontal="right" vertical="center"/>
    </xf>
    <xf numFmtId="0" fontId="23" fillId="4" borderId="0" xfId="3" applyFont="1" applyFill="1" applyAlignment="1">
      <alignment horizontal="right" vertical="center"/>
    </xf>
    <xf numFmtId="0" fontId="17" fillId="5" borderId="6" xfId="3" applyFont="1" applyFill="1" applyBorder="1" applyAlignment="1">
      <alignment horizontal="center" vertical="center" wrapText="1"/>
    </xf>
    <xf numFmtId="0" fontId="39" fillId="0" borderId="0" xfId="3" applyFont="1" applyAlignment="1">
      <alignment horizontal="center" vertical="center"/>
    </xf>
    <xf numFmtId="0" fontId="9" fillId="3" borderId="0" xfId="3" applyFont="1" applyFill="1" applyAlignment="1">
      <alignment vertical="center" wrapText="1"/>
    </xf>
    <xf numFmtId="0" fontId="9" fillId="3" borderId="3" xfId="3" applyFont="1" applyFill="1" applyBorder="1" applyAlignment="1">
      <alignment horizontal="left" vertical="center" wrapText="1"/>
    </xf>
    <xf numFmtId="0" fontId="17" fillId="4" borderId="7" xfId="3" applyFont="1" applyFill="1" applyBorder="1" applyAlignment="1">
      <alignment horizontal="left" vertical="center" wrapText="1"/>
    </xf>
    <xf numFmtId="0" fontId="17" fillId="4" borderId="1" xfId="3" applyFont="1" applyFill="1" applyBorder="1" applyAlignment="1">
      <alignment horizontal="right" vertical="center" wrapText="1"/>
    </xf>
    <xf numFmtId="0" fontId="17" fillId="4" borderId="2" xfId="3" applyFont="1" applyFill="1" applyBorder="1" applyAlignment="1">
      <alignment horizontal="right" vertical="center" wrapText="1"/>
    </xf>
    <xf numFmtId="0" fontId="17" fillId="5" borderId="1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vertical="center" wrapText="1"/>
    </xf>
    <xf numFmtId="0" fontId="43" fillId="4" borderId="3" xfId="3" applyFont="1" applyFill="1" applyBorder="1" applyAlignment="1">
      <alignment horizontal="left" vertical="center" wrapText="1"/>
    </xf>
    <xf numFmtId="0" fontId="43" fillId="4" borderId="1" xfId="3" applyFont="1" applyFill="1" applyBorder="1" applyAlignment="1">
      <alignment horizontal="left" vertical="center" wrapText="1"/>
    </xf>
    <xf numFmtId="0" fontId="43" fillId="5" borderId="19" xfId="3" applyFont="1" applyFill="1" applyBorder="1" applyAlignment="1">
      <alignment horizontal="center" vertical="center" wrapText="1"/>
    </xf>
    <xf numFmtId="0" fontId="43" fillId="5" borderId="1" xfId="3" applyFont="1" applyFill="1" applyBorder="1" applyAlignment="1">
      <alignment horizontal="center" vertical="center" wrapText="1"/>
    </xf>
    <xf numFmtId="0" fontId="43" fillId="5" borderId="3" xfId="3" applyFont="1" applyFill="1" applyBorder="1" applyAlignment="1">
      <alignment horizontal="center" vertical="center" wrapText="1"/>
    </xf>
    <xf numFmtId="0" fontId="43" fillId="5" borderId="13" xfId="3" applyFont="1" applyFill="1" applyBorder="1" applyAlignment="1">
      <alignment horizontal="center" vertical="center" wrapText="1"/>
    </xf>
    <xf numFmtId="0" fontId="12" fillId="0" borderId="6" xfId="3" applyFont="1" applyBorder="1" applyAlignment="1">
      <alignment horizontal="left" vertical="center" wrapText="1"/>
    </xf>
  </cellXfs>
  <cellStyles count="7">
    <cellStyle name="Dziesiętny 2" xfId="2" xr:uid="{864B634A-84C9-48CD-8084-36F1EA51CC89}"/>
    <cellStyle name="Dziesiętny 3" xfId="5" xr:uid="{DDA45EAA-3FA3-4B94-BB8A-D03922B6A1AD}"/>
    <cellStyle name="Normal 2" xfId="4" xr:uid="{77CD51E7-2711-4BFA-AC77-7BD3815C6225}"/>
    <cellStyle name="Normalny" xfId="0" builtinId="0"/>
    <cellStyle name="Normalny 2" xfId="1" xr:uid="{AAD09F85-DA94-4C9F-A5C6-FC82CA82EE45}"/>
    <cellStyle name="Normalny 3" xfId="3" xr:uid="{F53E631C-D5E2-401D-A39A-2BE9CC4AE619}"/>
    <cellStyle name="Normalny_04 SSF PJP 31-12-2006 AP" xfId="6" xr:uid="{FBC118ED-ADD4-41B6-AEC6-DE7A319B0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382052</xdr:colOff>
      <xdr:row>65</xdr:row>
      <xdr:rowOff>52552</xdr:rowOff>
    </xdr:from>
    <xdr:to>
      <xdr:col>1</xdr:col>
      <xdr:colOff>515774</xdr:colOff>
      <xdr:row>65</xdr:row>
      <xdr:rowOff>154480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FFC272AB-C8A9-4D3A-9E95-CB185E8606C8}"/>
            </a:ext>
          </a:extLst>
        </xdr:cNvPr>
        <xdr:cNvSpPr txBox="1"/>
      </xdr:nvSpPr>
      <xdr:spPr>
        <a:xfrm>
          <a:off x="4125377" y="14025727"/>
          <a:ext cx="133722" cy="101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1517162</xdr:colOff>
      <xdr:row>59</xdr:row>
      <xdr:rowOff>177168</xdr:rowOff>
    </xdr:from>
    <xdr:to>
      <xdr:col>0</xdr:col>
      <xdr:colOff>1943145</xdr:colOff>
      <xdr:row>63</xdr:row>
      <xdr:rowOff>122071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57DD557-F7DF-4AF3-81A4-846B195BBCDD}"/>
            </a:ext>
          </a:extLst>
        </xdr:cNvPr>
        <xdr:cNvSpPr txBox="1"/>
      </xdr:nvSpPr>
      <xdr:spPr>
        <a:xfrm rot="10229426">
          <a:off x="1517162" y="10235568"/>
          <a:ext cx="425983" cy="7069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627063</xdr:colOff>
      <xdr:row>20</xdr:row>
      <xdr:rowOff>98424</xdr:rowOff>
    </xdr:from>
    <xdr:to>
      <xdr:col>8</xdr:col>
      <xdr:colOff>39689</xdr:colOff>
      <xdr:row>21</xdr:row>
      <xdr:rowOff>134937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E90D7DCD-3322-4BBC-BF77-4F9CF71B7987}"/>
            </a:ext>
          </a:extLst>
        </xdr:cNvPr>
        <xdr:cNvSpPr txBox="1"/>
      </xdr:nvSpPr>
      <xdr:spPr>
        <a:xfrm>
          <a:off x="8466138" y="4556124"/>
          <a:ext cx="41276" cy="2460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556144</xdr:colOff>
      <xdr:row>66</xdr:row>
      <xdr:rowOff>156094</xdr:rowOff>
    </xdr:from>
    <xdr:to>
      <xdr:col>6</xdr:col>
      <xdr:colOff>406977</xdr:colOff>
      <xdr:row>68</xdr:row>
      <xdr:rowOff>112568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C3F70C2F-948B-4827-A6CF-890A94E0569F}"/>
            </a:ext>
          </a:extLst>
        </xdr:cNvPr>
        <xdr:cNvSpPr txBox="1"/>
      </xdr:nvSpPr>
      <xdr:spPr>
        <a:xfrm>
          <a:off x="7309369" y="13195819"/>
          <a:ext cx="1422458" cy="375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289892</xdr:colOff>
      <xdr:row>39</xdr:row>
      <xdr:rowOff>99391</xdr:rowOff>
    </xdr:from>
    <xdr:to>
      <xdr:col>2</xdr:col>
      <xdr:colOff>240196</xdr:colOff>
      <xdr:row>41</xdr:row>
      <xdr:rowOff>223630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558BF6F7-8AEE-46DE-A7AA-A00C82622945}"/>
            </a:ext>
          </a:extLst>
        </xdr:cNvPr>
        <xdr:cNvSpPr txBox="1"/>
      </xdr:nvSpPr>
      <xdr:spPr>
        <a:xfrm>
          <a:off x="3537917" y="9595816"/>
          <a:ext cx="731354" cy="5814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illeron.sharepoint.com/sites/IR/Shared%20Documents/Gie&#322;da/raporty%20okresowe/2023_Y/Ailleron_SA_SSF_2023_20240425%201330.xlsx" TargetMode="External"/><Relationship Id="rId1" Type="http://schemas.openxmlformats.org/officeDocument/2006/relationships/externalLinkPath" Target="/sites/IR/Shared%20Documents/Gie&#322;da/raporty%20okresowe/2023_Y/Ailleron_SA_SSF_2023_20240425%2013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lans_s"/>
      <sheetName val="RZIS_s"/>
      <sheetName val="SSCD_s"/>
      <sheetName val="CF_s"/>
      <sheetName val="ZZKW_s"/>
      <sheetName val="1-4"/>
      <sheetName val="5-6"/>
      <sheetName val="6cd"/>
      <sheetName val="7"/>
      <sheetName val="8 "/>
      <sheetName val="9 "/>
      <sheetName val="10 "/>
      <sheetName val="10cd "/>
      <sheetName val="10-12 "/>
      <sheetName val="13-14"/>
      <sheetName val="15"/>
      <sheetName val="16"/>
      <sheetName val="17"/>
      <sheetName val="18-20"/>
      <sheetName val="21-22"/>
      <sheetName val="23-25"/>
      <sheetName val="26"/>
      <sheetName val="27-28"/>
      <sheetName val="29-30"/>
      <sheetName val="31"/>
      <sheetName val="32-34"/>
      <sheetName val="35-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7">
          <cell r="E67">
            <v>14451000</v>
          </cell>
        </row>
      </sheetData>
      <sheetData sheetId="8">
        <row r="20">
          <cell r="C20">
            <v>4074000</v>
          </cell>
        </row>
        <row r="23">
          <cell r="C23">
            <v>31000</v>
          </cell>
        </row>
      </sheetData>
      <sheetData sheetId="9">
        <row r="4">
          <cell r="D4">
            <v>3643000</v>
          </cell>
        </row>
        <row r="8">
          <cell r="D8">
            <v>5412000</v>
          </cell>
        </row>
        <row r="15">
          <cell r="D15">
            <v>3118000</v>
          </cell>
        </row>
      </sheetData>
      <sheetData sheetId="10">
        <row r="6">
          <cell r="F6">
            <v>552000</v>
          </cell>
        </row>
        <row r="27">
          <cell r="F27">
            <v>0</v>
          </cell>
        </row>
        <row r="35">
          <cell r="F35">
            <v>4019000</v>
          </cell>
        </row>
      </sheetData>
      <sheetData sheetId="11"/>
      <sheetData sheetId="12"/>
      <sheetData sheetId="13"/>
      <sheetData sheetId="14"/>
      <sheetData sheetId="15">
        <row r="38">
          <cell r="I38">
            <v>9468000</v>
          </cell>
        </row>
      </sheetData>
      <sheetData sheetId="16"/>
      <sheetData sheetId="17"/>
      <sheetData sheetId="18"/>
      <sheetData sheetId="19"/>
      <sheetData sheetId="20">
        <row r="73">
          <cell r="G73">
            <v>-3593</v>
          </cell>
        </row>
      </sheetData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7A6A0-9897-471D-9467-40FD5F883102}">
  <sheetPr>
    <pageSetUpPr fitToPage="1"/>
  </sheetPr>
  <dimension ref="A1:D64"/>
  <sheetViews>
    <sheetView showGridLines="0" view="pageBreakPreview" topLeftCell="A47" zoomScale="145" zoomScaleNormal="100" zoomScaleSheetLayoutView="145" workbookViewId="0">
      <selection activeCell="A65" sqref="A65:XFD65"/>
    </sheetView>
  </sheetViews>
  <sheetFormatPr defaultColWidth="8.85546875" defaultRowHeight="15" x14ac:dyDescent="0.25"/>
  <cols>
    <col min="1" max="1" width="56.140625" style="4" customWidth="1"/>
    <col min="2" max="2" width="7.85546875" style="56" customWidth="1"/>
    <col min="3" max="3" width="19.140625" style="4" customWidth="1"/>
    <col min="4" max="4" width="19.5703125" style="4" customWidth="1"/>
    <col min="5" max="16384" width="8.85546875" style="4"/>
  </cols>
  <sheetData>
    <row r="1" spans="1:4" s="1" customFormat="1" ht="40.5" customHeight="1" x14ac:dyDescent="0.25">
      <c r="A1" s="420" t="s">
        <v>0</v>
      </c>
      <c r="B1" s="420"/>
      <c r="C1" s="420"/>
      <c r="D1" s="420"/>
    </row>
    <row r="2" spans="1:4" s="3" customFormat="1" ht="28.5" customHeight="1" x14ac:dyDescent="0.35">
      <c r="A2" s="421" t="s">
        <v>1</v>
      </c>
      <c r="B2" s="421"/>
      <c r="C2" s="421"/>
      <c r="D2" s="421"/>
    </row>
    <row r="3" spans="1:4" s="3" customFormat="1" ht="25.35" customHeight="1" x14ac:dyDescent="0.35">
      <c r="A3" s="422" t="s">
        <v>2</v>
      </c>
      <c r="B3" s="423"/>
      <c r="C3" s="423"/>
      <c r="D3" s="423"/>
    </row>
    <row r="4" spans="1:4" s="3" customFormat="1" ht="25.35" customHeight="1" x14ac:dyDescent="0.35">
      <c r="A4" s="2"/>
      <c r="B4" s="2"/>
      <c r="C4" s="2"/>
      <c r="D4" s="2"/>
    </row>
    <row r="5" spans="1:4" ht="35.1" customHeight="1" x14ac:dyDescent="0.25">
      <c r="A5" s="424" t="s">
        <v>3</v>
      </c>
      <c r="B5" s="424"/>
      <c r="C5" s="424"/>
      <c r="D5" s="424"/>
    </row>
    <row r="6" spans="1:4" x14ac:dyDescent="0.25">
      <c r="A6" s="415" t="s">
        <v>4</v>
      </c>
      <c r="B6" s="417" t="s">
        <v>5</v>
      </c>
      <c r="C6" s="419" t="s">
        <v>6</v>
      </c>
      <c r="D6" s="419"/>
    </row>
    <row r="7" spans="1:4" ht="38.450000000000003" customHeight="1" x14ac:dyDescent="0.3">
      <c r="A7" s="416"/>
      <c r="B7" s="418"/>
      <c r="C7" s="5" t="s">
        <v>7</v>
      </c>
      <c r="D7" s="6" t="s">
        <v>8</v>
      </c>
    </row>
    <row r="8" spans="1:4" ht="18" x14ac:dyDescent="0.25">
      <c r="A8" s="7"/>
      <c r="B8" s="8"/>
      <c r="C8" s="9"/>
      <c r="D8" s="9"/>
    </row>
    <row r="9" spans="1:4" ht="15" customHeight="1" x14ac:dyDescent="0.25">
      <c r="A9" s="10" t="s">
        <v>9</v>
      </c>
      <c r="B9" s="11"/>
      <c r="C9" s="12">
        <f>SUM(C10:C17)</f>
        <v>226208000</v>
      </c>
      <c r="D9" s="12">
        <f>SUM(D10:D17)</f>
        <v>209645000</v>
      </c>
    </row>
    <row r="10" spans="1:4" ht="15" customHeight="1" x14ac:dyDescent="0.25">
      <c r="A10" s="13" t="s">
        <v>10</v>
      </c>
      <c r="B10" s="14">
        <v>13</v>
      </c>
      <c r="C10" s="15">
        <v>43952000</v>
      </c>
      <c r="D10" s="15">
        <v>28368000</v>
      </c>
    </row>
    <row r="11" spans="1:4" ht="15" customHeight="1" x14ac:dyDescent="0.25">
      <c r="A11" s="13" t="s">
        <v>11</v>
      </c>
      <c r="B11" s="16">
        <v>14</v>
      </c>
      <c r="C11" s="15">
        <v>145249000</v>
      </c>
      <c r="D11" s="15">
        <v>149527000</v>
      </c>
    </row>
    <row r="12" spans="1:4" ht="15" customHeight="1" x14ac:dyDescent="0.25">
      <c r="A12" s="13" t="s">
        <v>12</v>
      </c>
      <c r="B12" s="16">
        <v>15</v>
      </c>
      <c r="C12" s="15">
        <v>34583000</v>
      </c>
      <c r="D12" s="15">
        <v>28827000</v>
      </c>
    </row>
    <row r="13" spans="1:4" ht="15" customHeight="1" x14ac:dyDescent="0.25">
      <c r="A13" s="18" t="s">
        <v>13</v>
      </c>
      <c r="B13" s="19">
        <v>16</v>
      </c>
      <c r="C13" s="15">
        <v>50000</v>
      </c>
      <c r="D13" s="15">
        <v>50000</v>
      </c>
    </row>
    <row r="14" spans="1:4" ht="15" customHeight="1" x14ac:dyDescent="0.25">
      <c r="A14" s="18" t="s">
        <v>14</v>
      </c>
      <c r="B14" s="19">
        <v>10</v>
      </c>
      <c r="C14" s="20">
        <v>1417000</v>
      </c>
      <c r="D14" s="15">
        <v>1347000</v>
      </c>
    </row>
    <row r="15" spans="1:4" ht="21" customHeight="1" x14ac:dyDescent="0.25">
      <c r="A15" s="18" t="s">
        <v>15</v>
      </c>
      <c r="B15" s="21">
        <v>17</v>
      </c>
      <c r="C15" s="20">
        <v>728000</v>
      </c>
      <c r="D15" s="15">
        <v>1249000</v>
      </c>
    </row>
    <row r="16" spans="1:4" ht="15" customHeight="1" x14ac:dyDescent="0.25">
      <c r="A16" s="13" t="s">
        <v>16</v>
      </c>
      <c r="B16" s="23">
        <v>18</v>
      </c>
      <c r="C16" s="15">
        <v>229000</v>
      </c>
      <c r="D16" s="15">
        <v>277000</v>
      </c>
    </row>
    <row r="17" spans="1:4" ht="15" hidden="1" customHeight="1" x14ac:dyDescent="0.25">
      <c r="A17" s="13" t="s">
        <v>17</v>
      </c>
      <c r="B17" s="23"/>
      <c r="C17" s="15"/>
      <c r="D17" s="24"/>
    </row>
    <row r="18" spans="1:4" ht="15" customHeight="1" x14ac:dyDescent="0.25">
      <c r="A18" s="10" t="s">
        <v>18</v>
      </c>
      <c r="B18" s="11"/>
      <c r="C18" s="12">
        <f>SUM(C19:C28)</f>
        <v>209459000</v>
      </c>
      <c r="D18" s="25">
        <f>SUM(D19:D28)</f>
        <v>209495000</v>
      </c>
    </row>
    <row r="19" spans="1:4" ht="15" customHeight="1" x14ac:dyDescent="0.25">
      <c r="A19" s="13" t="s">
        <v>19</v>
      </c>
      <c r="B19" s="23">
        <v>19</v>
      </c>
      <c r="C19" s="15">
        <v>553000</v>
      </c>
      <c r="D19" s="15">
        <v>691000</v>
      </c>
    </row>
    <row r="20" spans="1:4" ht="15" customHeight="1" x14ac:dyDescent="0.25">
      <c r="A20" s="13" t="s">
        <v>20</v>
      </c>
      <c r="B20" s="16">
        <v>20</v>
      </c>
      <c r="C20" s="15">
        <v>83331000</v>
      </c>
      <c r="D20" s="15">
        <v>94381000</v>
      </c>
    </row>
    <row r="21" spans="1:4" ht="15" customHeight="1" x14ac:dyDescent="0.25">
      <c r="A21" s="13" t="s">
        <v>21</v>
      </c>
      <c r="B21" s="16"/>
      <c r="C21" s="15">
        <v>3929000</v>
      </c>
      <c r="D21" s="15">
        <v>3875000</v>
      </c>
    </row>
    <row r="22" spans="1:4" ht="15" customHeight="1" x14ac:dyDescent="0.25">
      <c r="A22" s="13" t="s">
        <v>22</v>
      </c>
      <c r="B22" s="16" t="s">
        <v>23</v>
      </c>
      <c r="C22" s="20">
        <v>2328000</v>
      </c>
      <c r="D22" s="15">
        <v>4227000</v>
      </c>
    </row>
    <row r="23" spans="1:4" ht="15.95" customHeight="1" x14ac:dyDescent="0.25">
      <c r="A23" s="13" t="s">
        <v>15</v>
      </c>
      <c r="B23" s="23"/>
      <c r="C23" s="20">
        <v>85000</v>
      </c>
      <c r="D23" s="15">
        <v>383000</v>
      </c>
    </row>
    <row r="24" spans="1:4" ht="15.95" customHeight="1" x14ac:dyDescent="0.25">
      <c r="A24" s="13" t="s">
        <v>24</v>
      </c>
      <c r="B24" s="23"/>
      <c r="C24" s="20">
        <v>126000</v>
      </c>
      <c r="D24" s="15">
        <v>2000</v>
      </c>
    </row>
    <row r="25" spans="1:4" ht="15" customHeight="1" x14ac:dyDescent="0.25">
      <c r="A25" s="13" t="s">
        <v>25</v>
      </c>
      <c r="B25" s="23">
        <v>10</v>
      </c>
      <c r="C25" s="20">
        <v>6191000</v>
      </c>
      <c r="D25" s="15">
        <v>16243000</v>
      </c>
    </row>
    <row r="26" spans="1:4" ht="15" customHeight="1" x14ac:dyDescent="0.25">
      <c r="A26" s="13" t="s">
        <v>26</v>
      </c>
      <c r="B26" s="23">
        <v>23</v>
      </c>
      <c r="C26" s="20">
        <v>0</v>
      </c>
      <c r="D26" s="15">
        <v>287000</v>
      </c>
    </row>
    <row r="27" spans="1:4" ht="18" customHeight="1" x14ac:dyDescent="0.25">
      <c r="A27" s="13" t="s">
        <v>27</v>
      </c>
      <c r="B27" s="23">
        <v>34</v>
      </c>
      <c r="C27" s="20">
        <v>112916000</v>
      </c>
      <c r="D27" s="15">
        <v>89406000</v>
      </c>
    </row>
    <row r="28" spans="1:4" ht="15" hidden="1" customHeight="1" x14ac:dyDescent="0.25">
      <c r="A28" s="13" t="s">
        <v>28</v>
      </c>
      <c r="B28" s="23">
        <v>12</v>
      </c>
      <c r="C28" s="20">
        <v>0</v>
      </c>
      <c r="D28" s="20">
        <v>0</v>
      </c>
    </row>
    <row r="29" spans="1:4" ht="15" customHeight="1" x14ac:dyDescent="0.25">
      <c r="A29" s="26" t="s">
        <v>29</v>
      </c>
      <c r="B29" s="27"/>
      <c r="C29" s="28">
        <f>C9+C18</f>
        <v>435667000</v>
      </c>
      <c r="D29" s="28">
        <f>D9+D18</f>
        <v>419140000</v>
      </c>
    </row>
    <row r="30" spans="1:4" ht="15" customHeight="1" x14ac:dyDescent="0.25">
      <c r="A30" s="29"/>
      <c r="B30" s="30"/>
      <c r="C30" s="31"/>
      <c r="D30" s="31"/>
    </row>
    <row r="31" spans="1:4" ht="35.1" customHeight="1" x14ac:dyDescent="0.25">
      <c r="A31" s="32" t="s">
        <v>30</v>
      </c>
      <c r="B31" s="33"/>
      <c r="C31" s="34"/>
      <c r="D31" s="34"/>
    </row>
    <row r="32" spans="1:4" x14ac:dyDescent="0.25">
      <c r="A32" s="415" t="s">
        <v>31</v>
      </c>
      <c r="B32" s="417" t="s">
        <v>5</v>
      </c>
      <c r="C32" s="419" t="s">
        <v>6</v>
      </c>
      <c r="D32" s="419"/>
    </row>
    <row r="33" spans="1:4" ht="39.6" customHeight="1" x14ac:dyDescent="0.25">
      <c r="A33" s="416"/>
      <c r="B33" s="418"/>
      <c r="C33" s="6" t="str">
        <f>C7</f>
        <v>Stan na 
31/12/2023</v>
      </c>
      <c r="D33" s="6" t="str">
        <f>D7</f>
        <v>Stan na 
31/12/2022 (po przekształceniu)</v>
      </c>
    </row>
    <row r="34" spans="1:4" x14ac:dyDescent="0.25">
      <c r="A34" s="35" t="s">
        <v>32</v>
      </c>
      <c r="B34" s="36"/>
      <c r="C34" s="12">
        <f>C35+C41</f>
        <v>209544000</v>
      </c>
      <c r="D34" s="12">
        <f>D35+D41</f>
        <v>182475921.92000002</v>
      </c>
    </row>
    <row r="35" spans="1:4" x14ac:dyDescent="0.25">
      <c r="A35" s="35" t="s">
        <v>33</v>
      </c>
      <c r="B35" s="36"/>
      <c r="C35" s="25">
        <f>SUM(C36:C40)</f>
        <v>84144000</v>
      </c>
      <c r="D35" s="12">
        <f>SUM(D36:D40)</f>
        <v>67120921.920000002</v>
      </c>
    </row>
    <row r="36" spans="1:4" x14ac:dyDescent="0.25">
      <c r="A36" s="38" t="s">
        <v>34</v>
      </c>
      <c r="B36" s="39">
        <v>22</v>
      </c>
      <c r="C36" s="20">
        <v>3707000</v>
      </c>
      <c r="D36" s="15">
        <v>3707000</v>
      </c>
    </row>
    <row r="37" spans="1:4" x14ac:dyDescent="0.25">
      <c r="A37" s="38" t="s">
        <v>35</v>
      </c>
      <c r="B37" s="39">
        <v>22</v>
      </c>
      <c r="C37" s="15">
        <v>38412000</v>
      </c>
      <c r="D37" s="15">
        <v>38412000</v>
      </c>
    </row>
    <row r="38" spans="1:4" x14ac:dyDescent="0.25">
      <c r="A38" s="38" t="s">
        <v>36</v>
      </c>
      <c r="B38" s="39"/>
      <c r="C38" s="15">
        <v>1253000</v>
      </c>
      <c r="D38" s="15">
        <v>737000</v>
      </c>
    </row>
    <row r="39" spans="1:4" x14ac:dyDescent="0.25">
      <c r="A39" s="38" t="s">
        <v>37</v>
      </c>
      <c r="B39" s="39">
        <v>23</v>
      </c>
      <c r="C39" s="15">
        <v>43804000</v>
      </c>
      <c r="D39" s="15">
        <f>98490000-74858078.08+96000</f>
        <v>23727921.920000002</v>
      </c>
    </row>
    <row r="40" spans="1:4" x14ac:dyDescent="0.25">
      <c r="A40" s="40" t="s">
        <v>38</v>
      </c>
      <c r="B40" s="39"/>
      <c r="C40" s="15">
        <v>-3032000</v>
      </c>
      <c r="D40" s="15">
        <v>537000</v>
      </c>
    </row>
    <row r="41" spans="1:4" ht="21.6" customHeight="1" x14ac:dyDescent="0.25">
      <c r="A41" s="35" t="s">
        <v>39</v>
      </c>
      <c r="B41" s="36">
        <v>23</v>
      </c>
      <c r="C41" s="12">
        <v>125400000</v>
      </c>
      <c r="D41" s="12">
        <f>115794000-439000</f>
        <v>115355000</v>
      </c>
    </row>
    <row r="42" spans="1:4" x14ac:dyDescent="0.25">
      <c r="A42" s="35" t="s">
        <v>40</v>
      </c>
      <c r="B42" s="36"/>
      <c r="C42" s="12">
        <f>C43+C50</f>
        <v>226123000</v>
      </c>
      <c r="D42" s="12">
        <f>D43+D50</f>
        <v>236664078.07999998</v>
      </c>
    </row>
    <row r="43" spans="1:4" x14ac:dyDescent="0.25">
      <c r="A43" s="41" t="s">
        <v>41</v>
      </c>
      <c r="B43" s="42"/>
      <c r="C43" s="43">
        <f>SUM(C44:C49)</f>
        <v>134147000</v>
      </c>
      <c r="D43" s="43">
        <f>SUM(D44:D49)</f>
        <v>159454078.07999998</v>
      </c>
    </row>
    <row r="44" spans="1:4" x14ac:dyDescent="0.25">
      <c r="A44" s="38" t="s">
        <v>42</v>
      </c>
      <c r="B44" s="44" t="s">
        <v>43</v>
      </c>
      <c r="C44" s="15">
        <v>36059000</v>
      </c>
      <c r="D44" s="15">
        <v>19280000</v>
      </c>
    </row>
    <row r="45" spans="1:4" hidden="1" x14ac:dyDescent="0.25">
      <c r="A45" s="38" t="s">
        <v>44</v>
      </c>
      <c r="B45" s="44"/>
      <c r="C45" s="15"/>
      <c r="D45" s="15">
        <v>0</v>
      </c>
    </row>
    <row r="46" spans="1:4" x14ac:dyDescent="0.25">
      <c r="A46" s="38" t="s">
        <v>45</v>
      </c>
      <c r="B46" s="39">
        <v>24</v>
      </c>
      <c r="C46" s="15">
        <v>50457000</v>
      </c>
      <c r="D46" s="15">
        <v>64503000</v>
      </c>
    </row>
    <row r="47" spans="1:4" x14ac:dyDescent="0.25">
      <c r="A47" s="38" t="s">
        <v>46</v>
      </c>
      <c r="B47" s="44" t="s">
        <v>47</v>
      </c>
      <c r="C47" s="15">
        <v>45887000</v>
      </c>
      <c r="D47" s="15">
        <v>74858078.079999998</v>
      </c>
    </row>
    <row r="48" spans="1:4" ht="15" customHeight="1" x14ac:dyDescent="0.25">
      <c r="A48" s="38" t="s">
        <v>48</v>
      </c>
      <c r="B48" s="39">
        <v>26</v>
      </c>
      <c r="C48" s="15">
        <v>210000</v>
      </c>
      <c r="D48" s="15">
        <v>342000</v>
      </c>
    </row>
    <row r="49" spans="1:4" ht="15" customHeight="1" x14ac:dyDescent="0.25">
      <c r="A49" s="45" t="s">
        <v>49</v>
      </c>
      <c r="B49" s="46">
        <v>10</v>
      </c>
      <c r="C49" s="20">
        <v>1534000</v>
      </c>
      <c r="D49" s="15">
        <v>471000</v>
      </c>
    </row>
    <row r="50" spans="1:4" x14ac:dyDescent="0.25">
      <c r="A50" s="47" t="s">
        <v>50</v>
      </c>
      <c r="B50" s="48"/>
      <c r="C50" s="25">
        <f>SUM(C51:C61)</f>
        <v>91976000</v>
      </c>
      <c r="D50" s="25">
        <f>SUM(D51:D61)</f>
        <v>77210000</v>
      </c>
    </row>
    <row r="51" spans="1:4" ht="15" customHeight="1" x14ac:dyDescent="0.25">
      <c r="A51" s="45" t="s">
        <v>51</v>
      </c>
      <c r="B51" s="49">
        <v>28</v>
      </c>
      <c r="C51" s="15">
        <v>30575000</v>
      </c>
      <c r="D51" s="15">
        <f>33186000+343000</f>
        <v>33529000</v>
      </c>
    </row>
    <row r="52" spans="1:4" ht="15" customHeight="1" x14ac:dyDescent="0.25">
      <c r="A52" s="45" t="s">
        <v>52</v>
      </c>
      <c r="B52" s="44" t="s">
        <v>53</v>
      </c>
      <c r="C52" s="15">
        <v>1483000</v>
      </c>
      <c r="D52" s="50">
        <v>0</v>
      </c>
    </row>
    <row r="53" spans="1:4" ht="15" customHeight="1" x14ac:dyDescent="0.25">
      <c r="A53" s="45" t="s">
        <v>54</v>
      </c>
      <c r="B53" s="46">
        <v>24</v>
      </c>
      <c r="C53" s="15">
        <v>27279000</v>
      </c>
      <c r="D53" s="15">
        <v>7344000</v>
      </c>
    </row>
    <row r="54" spans="1:4" x14ac:dyDescent="0.25">
      <c r="A54" s="45" t="s">
        <v>55</v>
      </c>
      <c r="B54" s="46">
        <v>25</v>
      </c>
      <c r="C54" s="15">
        <v>5975000</v>
      </c>
      <c r="D54" s="15">
        <v>7407000</v>
      </c>
    </row>
    <row r="55" spans="1:4" ht="15" customHeight="1" x14ac:dyDescent="0.25">
      <c r="A55" s="45" t="s">
        <v>56</v>
      </c>
      <c r="B55" s="46">
        <v>10</v>
      </c>
      <c r="C55" s="15">
        <v>2571000</v>
      </c>
      <c r="D55" s="15">
        <v>2531000</v>
      </c>
    </row>
    <row r="56" spans="1:4" ht="15" customHeight="1" x14ac:dyDescent="0.25">
      <c r="A56" s="45" t="s">
        <v>57</v>
      </c>
      <c r="B56" s="49">
        <v>10</v>
      </c>
      <c r="C56" s="15">
        <v>4172000</v>
      </c>
      <c r="D56" s="15">
        <v>5104000</v>
      </c>
    </row>
    <row r="57" spans="1:4" ht="15" customHeight="1" x14ac:dyDescent="0.25">
      <c r="A57" s="45" t="s">
        <v>58</v>
      </c>
      <c r="B57" s="39">
        <v>26</v>
      </c>
      <c r="C57" s="15">
        <v>2656000</v>
      </c>
      <c r="D57" s="15">
        <v>3040000</v>
      </c>
    </row>
    <row r="58" spans="1:4" ht="15" customHeight="1" x14ac:dyDescent="0.25">
      <c r="A58" s="45" t="s">
        <v>59</v>
      </c>
      <c r="B58" s="39">
        <v>26</v>
      </c>
      <c r="C58" s="15">
        <v>2543000</v>
      </c>
      <c r="D58" s="15">
        <v>4552000</v>
      </c>
    </row>
    <row r="59" spans="1:4" ht="15" customHeight="1" x14ac:dyDescent="0.25">
      <c r="A59" s="45" t="s">
        <v>60</v>
      </c>
      <c r="B59" s="46">
        <v>30</v>
      </c>
      <c r="C59" s="15">
        <v>1322000</v>
      </c>
      <c r="D59" s="15">
        <v>427000</v>
      </c>
    </row>
    <row r="60" spans="1:4" ht="15" customHeight="1" x14ac:dyDescent="0.25">
      <c r="A60" s="51" t="s">
        <v>61</v>
      </c>
      <c r="B60" s="46">
        <v>27</v>
      </c>
      <c r="C60" s="15">
        <v>13400000</v>
      </c>
      <c r="D60" s="15">
        <v>13276000</v>
      </c>
    </row>
    <row r="61" spans="1:4" ht="27" hidden="1" x14ac:dyDescent="0.25">
      <c r="A61" s="51" t="s">
        <v>62</v>
      </c>
      <c r="B61" s="46">
        <v>12</v>
      </c>
      <c r="C61" s="15"/>
      <c r="D61" s="52"/>
    </row>
    <row r="62" spans="1:4" x14ac:dyDescent="0.25">
      <c r="A62" s="26" t="s">
        <v>63</v>
      </c>
      <c r="B62" s="27"/>
      <c r="C62" s="53">
        <f>C35+C42+C41</f>
        <v>435667000</v>
      </c>
      <c r="D62" s="53">
        <f>D35+D42+D41</f>
        <v>419140000</v>
      </c>
    </row>
    <row r="63" spans="1:4" ht="18" x14ac:dyDescent="0.35">
      <c r="A63" s="54"/>
      <c r="B63" s="55"/>
      <c r="C63" s="54"/>
      <c r="D63" s="54"/>
    </row>
    <row r="64" spans="1:4" ht="18" x14ac:dyDescent="0.35">
      <c r="A64" s="54"/>
      <c r="B64" s="55"/>
      <c r="C64" s="54"/>
      <c r="D64" s="54"/>
    </row>
  </sheetData>
  <mergeCells count="10">
    <mergeCell ref="A32:A33"/>
    <mergeCell ref="B32:B33"/>
    <mergeCell ref="C32:D32"/>
    <mergeCell ref="A1:D1"/>
    <mergeCell ref="A2:D2"/>
    <mergeCell ref="A3:D3"/>
    <mergeCell ref="A5:D5"/>
    <mergeCell ref="A6:A7"/>
    <mergeCell ref="B6:B7"/>
    <mergeCell ref="C6:D6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Header>&amp;L&amp;"Montserrat,Regular"&amp;7&amp;K000000Roczne skonsolidowane sprawozdanie finansowe Grupy Ailleron SA za okres od 1 stycznia 2023 r. do 31 grudnia 2023 r.
(wszystkie kwoty podano w tys. PLN, o ile nie wskazano inaczej)</oddHeader>
    <oddFooter>&amp;C&amp;P</oddFooter>
  </headerFooter>
  <rowBreaks count="1" manualBreakCount="1">
    <brk id="30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A344-3F7B-4393-AF12-B0672A21C05B}">
  <sheetPr>
    <pageSetUpPr fitToPage="1"/>
  </sheetPr>
  <dimension ref="A1:K47"/>
  <sheetViews>
    <sheetView showGridLines="0" view="pageBreakPreview" topLeftCell="A40" zoomScale="145" zoomScaleNormal="100" zoomScaleSheetLayoutView="145" workbookViewId="0">
      <selection activeCell="E1" sqref="E1:E1048576"/>
    </sheetView>
  </sheetViews>
  <sheetFormatPr defaultRowHeight="15" x14ac:dyDescent="0.25"/>
  <cols>
    <col min="1" max="1" width="50.85546875" style="4" customWidth="1"/>
    <col min="2" max="2" width="7.85546875" style="4" customWidth="1"/>
    <col min="3" max="4" width="15.85546875" style="4" customWidth="1"/>
    <col min="5" max="5" width="10.5703125" style="4" bestFit="1" customWidth="1"/>
    <col min="6" max="16384" width="9.140625" style="4"/>
  </cols>
  <sheetData>
    <row r="1" spans="1:11" s="57" customFormat="1" ht="35.1" customHeight="1" x14ac:dyDescent="0.2">
      <c r="A1" s="424" t="s">
        <v>64</v>
      </c>
      <c r="B1" s="424"/>
      <c r="C1" s="424"/>
      <c r="D1" s="424"/>
    </row>
    <row r="2" spans="1:11" ht="12.75" customHeight="1" x14ac:dyDescent="0.25">
      <c r="A2" s="429" t="s">
        <v>65</v>
      </c>
      <c r="B2" s="431" t="s">
        <v>5</v>
      </c>
      <c r="C2" s="433" t="s">
        <v>66</v>
      </c>
      <c r="D2" s="433"/>
    </row>
    <row r="3" spans="1:11" ht="39.75" customHeight="1" x14ac:dyDescent="0.25">
      <c r="A3" s="430"/>
      <c r="B3" s="432"/>
      <c r="C3" s="58" t="s">
        <v>67</v>
      </c>
      <c r="D3" s="59" t="s">
        <v>68</v>
      </c>
    </row>
    <row r="4" spans="1:11" ht="23.1" customHeight="1" x14ac:dyDescent="0.25">
      <c r="A4" s="60" t="s">
        <v>69</v>
      </c>
      <c r="B4" s="60"/>
      <c r="C4" s="61"/>
      <c r="D4" s="62"/>
    </row>
    <row r="5" spans="1:11" x14ac:dyDescent="0.25">
      <c r="A5" s="63" t="s">
        <v>70</v>
      </c>
      <c r="B5" s="64" t="s">
        <v>71</v>
      </c>
      <c r="C5" s="65">
        <f>C6+C7</f>
        <v>453119000</v>
      </c>
      <c r="D5" s="65">
        <f>413441000-D26</f>
        <v>410082000</v>
      </c>
      <c r="G5" s="37"/>
    </row>
    <row r="6" spans="1:11" s="68" customFormat="1" hidden="1" x14ac:dyDescent="0.25">
      <c r="A6" s="66" t="s">
        <v>72</v>
      </c>
      <c r="B6" s="66"/>
      <c r="C6" s="67">
        <v>452995000</v>
      </c>
      <c r="D6" s="67">
        <v>201305000</v>
      </c>
    </row>
    <row r="7" spans="1:11" s="68" customFormat="1" hidden="1" x14ac:dyDescent="0.25">
      <c r="A7" s="66" t="s">
        <v>74</v>
      </c>
      <c r="B7" s="66"/>
      <c r="C7" s="67">
        <v>124000</v>
      </c>
      <c r="D7" s="67">
        <v>15527000</v>
      </c>
    </row>
    <row r="8" spans="1:11" ht="25.5" x14ac:dyDescent="0.25">
      <c r="A8" s="69" t="s">
        <v>75</v>
      </c>
      <c r="B8" s="70"/>
      <c r="C8" s="65">
        <f>C9+C10</f>
        <v>341461000</v>
      </c>
      <c r="D8" s="65">
        <f>300585000-D27</f>
        <v>294826000</v>
      </c>
      <c r="K8" s="71"/>
    </row>
    <row r="9" spans="1:11" s="68" customFormat="1" hidden="1" x14ac:dyDescent="0.25">
      <c r="A9" s="66" t="s">
        <v>76</v>
      </c>
      <c r="B9" s="66"/>
      <c r="C9" s="67">
        <v>341386000</v>
      </c>
      <c r="D9" s="67">
        <v>132209000</v>
      </c>
      <c r="F9" s="72"/>
    </row>
    <row r="10" spans="1:11" s="68" customFormat="1" hidden="1" x14ac:dyDescent="0.25">
      <c r="A10" s="66" t="s">
        <v>77</v>
      </c>
      <c r="B10" s="66"/>
      <c r="C10" s="67">
        <v>75000</v>
      </c>
      <c r="D10" s="67">
        <v>14222000</v>
      </c>
    </row>
    <row r="11" spans="1:11" x14ac:dyDescent="0.25">
      <c r="A11" s="63" t="s">
        <v>78</v>
      </c>
      <c r="B11" s="63"/>
      <c r="C11" s="65">
        <f>C5-C8</f>
        <v>111658000</v>
      </c>
      <c r="D11" s="65">
        <f>D5-D8</f>
        <v>115256000</v>
      </c>
      <c r="F11" s="22"/>
      <c r="G11" s="22"/>
    </row>
    <row r="12" spans="1:11" x14ac:dyDescent="0.25">
      <c r="A12" s="73" t="s">
        <v>79</v>
      </c>
      <c r="B12" s="73"/>
      <c r="C12" s="74">
        <v>26782000</v>
      </c>
      <c r="D12" s="74">
        <v>19713000</v>
      </c>
      <c r="F12" s="22"/>
      <c r="G12" s="22"/>
    </row>
    <row r="13" spans="1:11" x14ac:dyDescent="0.25">
      <c r="A13" s="73" t="s">
        <v>80</v>
      </c>
      <c r="B13" s="73"/>
      <c r="C13" s="75">
        <v>43169000</v>
      </c>
      <c r="D13" s="74">
        <v>41362000</v>
      </c>
    </row>
    <row r="14" spans="1:11" x14ac:dyDescent="0.25">
      <c r="A14" s="73" t="s">
        <v>81</v>
      </c>
      <c r="B14" s="76">
        <v>9</v>
      </c>
      <c r="C14" s="74">
        <v>1613000</v>
      </c>
      <c r="D14" s="74">
        <v>418000</v>
      </c>
      <c r="F14" s="22"/>
    </row>
    <row r="15" spans="1:11" x14ac:dyDescent="0.25">
      <c r="A15" s="73" t="s">
        <v>82</v>
      </c>
      <c r="B15" s="76">
        <v>9</v>
      </c>
      <c r="C15" s="74">
        <v>7710000</v>
      </c>
      <c r="D15" s="74">
        <v>4025000</v>
      </c>
    </row>
    <row r="16" spans="1:11" x14ac:dyDescent="0.25">
      <c r="A16" s="63" t="s">
        <v>83</v>
      </c>
      <c r="B16" s="64"/>
      <c r="C16" s="77">
        <f>C11-C12-C13+C14-C15</f>
        <v>35610000</v>
      </c>
      <c r="D16" s="77">
        <f>D11-D12-D13+D14-D15</f>
        <v>50574000</v>
      </c>
      <c r="E16" s="78"/>
      <c r="F16" s="78"/>
      <c r="G16" s="79"/>
      <c r="H16" s="78"/>
    </row>
    <row r="17" spans="1:6" x14ac:dyDescent="0.25">
      <c r="A17" s="73" t="s">
        <v>84</v>
      </c>
      <c r="B17" s="76">
        <v>7</v>
      </c>
      <c r="C17" s="75">
        <v>4918000</v>
      </c>
      <c r="D17" s="75">
        <v>2035000</v>
      </c>
    </row>
    <row r="18" spans="1:6" x14ac:dyDescent="0.25">
      <c r="A18" s="73" t="s">
        <v>85</v>
      </c>
      <c r="B18" s="76">
        <v>8</v>
      </c>
      <c r="C18" s="75">
        <v>8758000</v>
      </c>
      <c r="D18" s="75">
        <v>2331000</v>
      </c>
    </row>
    <row r="19" spans="1:6" x14ac:dyDescent="0.25">
      <c r="A19" s="70" t="s">
        <v>86</v>
      </c>
      <c r="B19" s="80"/>
      <c r="C19" s="77">
        <f>C16+C17-C18</f>
        <v>31770000</v>
      </c>
      <c r="D19" s="77">
        <f>D16+D17-D18</f>
        <v>50278000</v>
      </c>
    </row>
    <row r="20" spans="1:6" x14ac:dyDescent="0.25">
      <c r="A20" s="73"/>
      <c r="B20" s="76"/>
      <c r="C20" s="75"/>
      <c r="D20" s="75"/>
    </row>
    <row r="21" spans="1:6" x14ac:dyDescent="0.25">
      <c r="A21" s="70" t="s">
        <v>87</v>
      </c>
      <c r="B21" s="80">
        <v>10</v>
      </c>
      <c r="C21" s="77">
        <f>C22+C23</f>
        <v>10885000</v>
      </c>
      <c r="D21" s="77">
        <f t="shared" ref="D21" si="0">9333000-D29</f>
        <v>9789000</v>
      </c>
      <c r="E21" s="75"/>
    </row>
    <row r="22" spans="1:6" s="68" customFormat="1" hidden="1" x14ac:dyDescent="0.25">
      <c r="A22" s="66" t="s">
        <v>88</v>
      </c>
      <c r="B22" s="66"/>
      <c r="C22" s="67">
        <v>11391000</v>
      </c>
      <c r="D22" s="67">
        <v>8317000</v>
      </c>
    </row>
    <row r="23" spans="1:6" s="68" customFormat="1" hidden="1" x14ac:dyDescent="0.25">
      <c r="A23" s="66" t="s">
        <v>89</v>
      </c>
      <c r="B23" s="66"/>
      <c r="C23" s="67">
        <v>-506000</v>
      </c>
      <c r="D23" s="67">
        <v>215000</v>
      </c>
    </row>
    <row r="24" spans="1:6" x14ac:dyDescent="0.25">
      <c r="A24" s="70" t="s">
        <v>90</v>
      </c>
      <c r="B24" s="81">
        <v>12</v>
      </c>
      <c r="C24" s="65">
        <f>C19-C21</f>
        <v>20885000</v>
      </c>
      <c r="D24" s="65">
        <f>D19-D21</f>
        <v>40489000</v>
      </c>
    </row>
    <row r="25" spans="1:6" x14ac:dyDescent="0.25">
      <c r="A25" s="82" t="s">
        <v>91</v>
      </c>
      <c r="B25" s="81"/>
      <c r="C25" s="65"/>
      <c r="D25" s="65"/>
    </row>
    <row r="26" spans="1:6" x14ac:dyDescent="0.25">
      <c r="A26" s="83" t="s">
        <v>92</v>
      </c>
      <c r="B26" s="81"/>
      <c r="C26" s="65">
        <v>0</v>
      </c>
      <c r="D26" s="74">
        <v>3359000</v>
      </c>
    </row>
    <row r="27" spans="1:6" x14ac:dyDescent="0.25">
      <c r="A27" s="83" t="s">
        <v>93</v>
      </c>
      <c r="B27" s="81"/>
      <c r="C27" s="65">
        <v>0</v>
      </c>
      <c r="D27" s="65">
        <v>5759000</v>
      </c>
    </row>
    <row r="28" spans="1:6" x14ac:dyDescent="0.25">
      <c r="A28" s="83" t="s">
        <v>94</v>
      </c>
      <c r="B28" s="81"/>
      <c r="C28" s="74">
        <v>0</v>
      </c>
      <c r="D28" s="74">
        <f>D26-D27</f>
        <v>-2400000</v>
      </c>
    </row>
    <row r="29" spans="1:6" x14ac:dyDescent="0.25">
      <c r="A29" s="82" t="s">
        <v>87</v>
      </c>
      <c r="B29" s="81"/>
      <c r="C29" s="84">
        <f>C28*0.19</f>
        <v>0</v>
      </c>
      <c r="D29" s="84">
        <f>D28*0.19</f>
        <v>-456000</v>
      </c>
    </row>
    <row r="30" spans="1:6" x14ac:dyDescent="0.25">
      <c r="A30" s="70" t="s">
        <v>95</v>
      </c>
      <c r="B30" s="81"/>
      <c r="C30" s="25">
        <f>C28-C29</f>
        <v>0</v>
      </c>
      <c r="D30" s="25">
        <f>D28-D29</f>
        <v>-1944000</v>
      </c>
    </row>
    <row r="31" spans="1:6" x14ac:dyDescent="0.25">
      <c r="A31" s="85" t="s">
        <v>96</v>
      </c>
      <c r="B31" s="85"/>
      <c r="C31" s="86">
        <f>C24+C30</f>
        <v>20885000</v>
      </c>
      <c r="D31" s="86">
        <f>D24+D30</f>
        <v>38545000</v>
      </c>
      <c r="E31" s="37"/>
      <c r="F31" s="37"/>
    </row>
    <row r="32" spans="1:6" hidden="1" x14ac:dyDescent="0.25">
      <c r="A32" s="87"/>
      <c r="B32" s="87"/>
      <c r="C32" s="88"/>
      <c r="D32" s="88"/>
    </row>
    <row r="33" spans="1:7" s="57" customFormat="1" ht="35.1" hidden="1" customHeight="1" x14ac:dyDescent="0.2">
      <c r="A33" s="424" t="s">
        <v>97</v>
      </c>
      <c r="B33" s="424"/>
      <c r="C33" s="424"/>
      <c r="D33" s="424"/>
    </row>
    <row r="34" spans="1:7" hidden="1" x14ac:dyDescent="0.25">
      <c r="A34" s="434" t="s">
        <v>65</v>
      </c>
      <c r="B34" s="435" t="s">
        <v>5</v>
      </c>
      <c r="C34" s="437" t="s">
        <v>66</v>
      </c>
      <c r="D34" s="437"/>
    </row>
    <row r="35" spans="1:7" ht="40.5" hidden="1" x14ac:dyDescent="0.25">
      <c r="A35" s="434"/>
      <c r="B35" s="436"/>
      <c r="C35" s="90" t="str">
        <f>C3</f>
        <v>Okres 
zakończony 
31/12/2023</v>
      </c>
      <c r="D35" s="90" t="str">
        <f>D3</f>
        <v>Okres 
zakończony 31/12/2022</v>
      </c>
    </row>
    <row r="36" spans="1:7" x14ac:dyDescent="0.25">
      <c r="A36" s="91" t="s">
        <v>98</v>
      </c>
      <c r="B36" s="91"/>
      <c r="C36" s="92">
        <f>C31</f>
        <v>20885000</v>
      </c>
      <c r="D36" s="92">
        <f>D31</f>
        <v>38545000</v>
      </c>
    </row>
    <row r="37" spans="1:7" x14ac:dyDescent="0.25">
      <c r="A37" s="73" t="s">
        <v>99</v>
      </c>
      <c r="B37" s="73"/>
      <c r="C37" s="75">
        <v>3532000</v>
      </c>
      <c r="D37" s="74">
        <v>13229000</v>
      </c>
    </row>
    <row r="38" spans="1:7" ht="14.45" customHeight="1" x14ac:dyDescent="0.25">
      <c r="A38" s="91" t="s">
        <v>100</v>
      </c>
      <c r="B38" s="91"/>
      <c r="C38" s="15">
        <v>17353000</v>
      </c>
      <c r="D38" s="15">
        <f>D36-D37</f>
        <v>25316000</v>
      </c>
    </row>
    <row r="39" spans="1:7" x14ac:dyDescent="0.25">
      <c r="A39" s="73" t="s">
        <v>101</v>
      </c>
      <c r="B39" s="76">
        <v>12</v>
      </c>
      <c r="C39" s="425">
        <v>3.2583858983008707</v>
      </c>
      <c r="D39" s="427"/>
    </row>
    <row r="40" spans="1:7" x14ac:dyDescent="0.25">
      <c r="A40" s="73" t="s">
        <v>102</v>
      </c>
      <c r="B40" s="73"/>
      <c r="C40" s="426"/>
      <c r="D40" s="428"/>
    </row>
    <row r="41" spans="1:7" x14ac:dyDescent="0.25">
      <c r="A41" s="73" t="s">
        <v>103</v>
      </c>
      <c r="B41" s="73"/>
      <c r="C41" s="75"/>
      <c r="D41" s="75"/>
    </row>
    <row r="42" spans="1:7" x14ac:dyDescent="0.25">
      <c r="A42" s="73" t="s">
        <v>104</v>
      </c>
      <c r="B42" s="73"/>
      <c r="C42" s="93">
        <f>C37/12355504</f>
        <v>0.28586450216842629</v>
      </c>
      <c r="D42" s="93">
        <f>D37/12355504</f>
        <v>1.070696913699352</v>
      </c>
    </row>
    <row r="43" spans="1:7" x14ac:dyDescent="0.25">
      <c r="A43" s="94" t="s">
        <v>105</v>
      </c>
      <c r="B43" s="73"/>
      <c r="C43" s="93">
        <f>C42</f>
        <v>0.28586450216842629</v>
      </c>
      <c r="D43" s="93">
        <f>D42</f>
        <v>1.070696913699352</v>
      </c>
    </row>
    <row r="44" spans="1:7" x14ac:dyDescent="0.25">
      <c r="A44" s="94" t="s">
        <v>106</v>
      </c>
      <c r="B44" s="73"/>
      <c r="C44" s="75"/>
      <c r="D44" s="75"/>
    </row>
    <row r="45" spans="1:7" x14ac:dyDescent="0.25">
      <c r="A45" s="94" t="s">
        <v>104</v>
      </c>
      <c r="B45" s="73"/>
      <c r="C45" s="93">
        <f>C30/12355504</f>
        <v>0</v>
      </c>
      <c r="D45" s="93">
        <f>D30/12355504</f>
        <v>-0.15733878601795603</v>
      </c>
      <c r="G45" s="95"/>
    </row>
    <row r="46" spans="1:7" ht="17.25" customHeight="1" x14ac:dyDescent="0.25">
      <c r="A46" s="91" t="s">
        <v>105</v>
      </c>
      <c r="B46" s="91"/>
      <c r="C46" s="96">
        <f>C45</f>
        <v>0</v>
      </c>
      <c r="D46" s="96">
        <f>D45</f>
        <v>-0.15733878601795603</v>
      </c>
    </row>
    <row r="47" spans="1:7" ht="11.1" customHeight="1" x14ac:dyDescent="0.25">
      <c r="A47" s="97"/>
      <c r="B47" s="97"/>
      <c r="C47" s="98"/>
      <c r="D47" s="98"/>
    </row>
  </sheetData>
  <mergeCells count="10">
    <mergeCell ref="C39:C40"/>
    <mergeCell ref="D39:D40"/>
    <mergeCell ref="A1:D1"/>
    <mergeCell ref="A2:A3"/>
    <mergeCell ref="B2:B3"/>
    <mergeCell ref="C2:D2"/>
    <mergeCell ref="A33:D33"/>
    <mergeCell ref="A34:A35"/>
    <mergeCell ref="B34:B35"/>
    <mergeCell ref="C34:D34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&amp;L&amp;"Montserrat,Regular"&amp;7&amp;K000000Roczne skonsolidowane sprawozdanie finansowe Grupy Ailleron SA za okres od 1 stycznia 2023 r. do 31 grudnia 2023 r.
(wszystkie kwoty podano w tys. PLN, o ile nie wskazano inaczej)</oddHead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6BD4-682D-40D3-AFA4-E8E3E3D6956E}">
  <sheetPr>
    <pageSetUpPr fitToPage="1"/>
  </sheetPr>
  <dimension ref="A1:I23"/>
  <sheetViews>
    <sheetView showGridLines="0" tabSelected="1" view="pageBreakPreview" zoomScale="120" zoomScaleNormal="100" zoomScaleSheetLayoutView="120" workbookViewId="0">
      <selection activeCell="D72" sqref="D72"/>
    </sheetView>
  </sheetViews>
  <sheetFormatPr defaultColWidth="9.140625" defaultRowHeight="15" x14ac:dyDescent="0.25"/>
  <cols>
    <col min="1" max="1" width="50.85546875" style="4" customWidth="1"/>
    <col min="2" max="2" width="7.85546875" style="4" customWidth="1"/>
    <col min="3" max="4" width="15.85546875" style="4" customWidth="1"/>
    <col min="5" max="16384" width="9.140625" style="4"/>
  </cols>
  <sheetData>
    <row r="1" spans="1:9" s="57" customFormat="1" ht="35.1" customHeight="1" x14ac:dyDescent="0.2">
      <c r="A1" s="438" t="s">
        <v>107</v>
      </c>
      <c r="B1" s="438"/>
      <c r="C1" s="438"/>
      <c r="D1" s="438"/>
    </row>
    <row r="2" spans="1:9" ht="17.25" customHeight="1" x14ac:dyDescent="0.25">
      <c r="A2" s="434" t="s">
        <v>108</v>
      </c>
      <c r="B2" s="435"/>
      <c r="C2" s="437" t="s">
        <v>66</v>
      </c>
      <c r="D2" s="437"/>
    </row>
    <row r="3" spans="1:9" ht="42.75" customHeight="1" x14ac:dyDescent="0.25">
      <c r="A3" s="434"/>
      <c r="B3" s="436"/>
      <c r="C3" s="99" t="str">
        <f>RZIS_s!C3</f>
        <v>Okres 
zakończony 
31/12/2023</v>
      </c>
      <c r="D3" s="99" t="str">
        <f>RZIS_s!D3</f>
        <v>Okres 
zakończony 31/12/2022</v>
      </c>
    </row>
    <row r="4" spans="1:9" ht="14.45" customHeight="1" x14ac:dyDescent="0.25">
      <c r="A4" s="85" t="s">
        <v>96</v>
      </c>
      <c r="B4" s="70"/>
      <c r="C4" s="100">
        <f>RZIS_s!C31</f>
        <v>20885000</v>
      </c>
      <c r="D4" s="100">
        <f>RZIS_s!D31</f>
        <v>38545000</v>
      </c>
    </row>
    <row r="5" spans="1:9" ht="14.45" customHeight="1" x14ac:dyDescent="0.25">
      <c r="A5" s="73" t="s">
        <v>109</v>
      </c>
      <c r="B5" s="73"/>
      <c r="C5" s="101"/>
      <c r="D5" s="102"/>
      <c r="H5" s="103"/>
      <c r="I5" s="103"/>
    </row>
    <row r="6" spans="1:9" ht="14.45" customHeight="1" x14ac:dyDescent="0.25">
      <c r="A6" s="70" t="s">
        <v>38</v>
      </c>
      <c r="B6" s="70"/>
      <c r="C6" s="104">
        <v>-7069000</v>
      </c>
      <c r="D6" s="105">
        <v>1276000</v>
      </c>
    </row>
    <row r="7" spans="1:9" x14ac:dyDescent="0.25">
      <c r="A7" s="85" t="s">
        <v>110</v>
      </c>
      <c r="B7" s="70"/>
      <c r="C7" s="106">
        <f>C6</f>
        <v>-7069000</v>
      </c>
      <c r="D7" s="106">
        <f>D6</f>
        <v>1276000</v>
      </c>
    </row>
    <row r="8" spans="1:9" ht="17.45" customHeight="1" x14ac:dyDescent="0.25">
      <c r="A8" s="85" t="s">
        <v>111</v>
      </c>
      <c r="B8" s="85"/>
      <c r="C8" s="107">
        <f>C4+C7</f>
        <v>13816000</v>
      </c>
      <c r="D8" s="107">
        <f>D4+D7</f>
        <v>39821000</v>
      </c>
    </row>
    <row r="9" spans="1:9" x14ac:dyDescent="0.25">
      <c r="A9" s="73" t="s">
        <v>112</v>
      </c>
      <c r="B9" s="108"/>
      <c r="C9" s="109">
        <v>-37000</v>
      </c>
      <c r="D9" s="110">
        <v>13833000</v>
      </c>
      <c r="E9" s="17"/>
    </row>
    <row r="10" spans="1:9" x14ac:dyDescent="0.25">
      <c r="A10" s="73" t="s">
        <v>113</v>
      </c>
      <c r="B10" s="108"/>
      <c r="C10" s="109">
        <v>13853000</v>
      </c>
      <c r="D10" s="110">
        <v>25988000</v>
      </c>
      <c r="E10" s="17"/>
    </row>
    <row r="11" spans="1:9" x14ac:dyDescent="0.25">
      <c r="A11" s="111"/>
      <c r="B11" s="111"/>
      <c r="C11" s="112"/>
      <c r="D11" s="112"/>
    </row>
    <row r="12" spans="1:9" x14ac:dyDescent="0.25">
      <c r="C12" s="113"/>
      <c r="D12" s="113"/>
    </row>
    <row r="17" spans="1:2" ht="16.5" x14ac:dyDescent="0.35">
      <c r="A17" s="114"/>
      <c r="B17" s="114"/>
    </row>
    <row r="21" spans="1:2" ht="16.5" x14ac:dyDescent="0.35">
      <c r="A21" s="115"/>
      <c r="B21" s="114"/>
    </row>
    <row r="23" spans="1:2" ht="16.5" x14ac:dyDescent="0.35">
      <c r="A23" s="115"/>
      <c r="B23" s="114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&amp;L&amp;"Montserrat,Regular"&amp;7&amp;K000000Roczne skonsolidowane sprawozdanie finansowe Grupy Ailleron SA za okres od 1 stycznia 2023 r. do 31 grudnia 2023 r.
(wszystkie kwoty podano w tys. PLN, o ile nie wskazano inaczej)</oddHead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37D5D-26A6-4EB0-8253-75802B074296}">
  <dimension ref="A1:G67"/>
  <sheetViews>
    <sheetView showGridLines="0" view="pageBreakPreview" zoomScaleNormal="100" zoomScaleSheetLayoutView="100" workbookViewId="0">
      <selection activeCell="F15" sqref="F15"/>
    </sheetView>
  </sheetViews>
  <sheetFormatPr defaultRowHeight="15" x14ac:dyDescent="0.25"/>
  <cols>
    <col min="1" max="1" width="54.140625" style="132" customWidth="1"/>
    <col min="2" max="3" width="15.85546875" style="4" customWidth="1"/>
    <col min="4" max="4" width="15.42578125" style="4" customWidth="1"/>
    <col min="5" max="5" width="14.42578125" style="4" customWidth="1"/>
    <col min="6" max="16384" width="9.140625" style="4"/>
  </cols>
  <sheetData>
    <row r="1" spans="1:3" s="57" customFormat="1" ht="35.1" customHeight="1" x14ac:dyDescent="0.2">
      <c r="A1" s="439" t="s">
        <v>114</v>
      </c>
      <c r="B1" s="439"/>
      <c r="C1" s="439"/>
    </row>
    <row r="2" spans="1:3" x14ac:dyDescent="0.25">
      <c r="A2" s="440"/>
      <c r="B2" s="441" t="s">
        <v>66</v>
      </c>
      <c r="C2" s="441"/>
    </row>
    <row r="3" spans="1:3" ht="44.1" customHeight="1" x14ac:dyDescent="0.25">
      <c r="A3" s="440"/>
      <c r="B3" s="99" t="str">
        <f>SSCD_s!C3</f>
        <v>Okres 
zakończony 
31/12/2023</v>
      </c>
      <c r="C3" s="99" t="str">
        <f>SSCD_s!D3</f>
        <v>Okres 
zakończony 31/12/2022</v>
      </c>
    </row>
    <row r="4" spans="1:3" x14ac:dyDescent="0.25">
      <c r="A4" s="116" t="s">
        <v>115</v>
      </c>
      <c r="B4" s="117"/>
      <c r="C4" s="117"/>
    </row>
    <row r="5" spans="1:3" x14ac:dyDescent="0.25">
      <c r="A5" s="69" t="s">
        <v>116</v>
      </c>
      <c r="B5" s="118">
        <f>RZIS_s!C31</f>
        <v>20885000</v>
      </c>
      <c r="C5" s="118">
        <f>RZIS_s!D31</f>
        <v>38545000</v>
      </c>
    </row>
    <row r="6" spans="1:3" x14ac:dyDescent="0.25">
      <c r="A6" s="69" t="s">
        <v>117</v>
      </c>
      <c r="B6" s="118">
        <f>SUM(B7:B24)</f>
        <v>46002000</v>
      </c>
      <c r="C6" s="118">
        <f>SUM(C7:C24)</f>
        <v>21129000</v>
      </c>
    </row>
    <row r="7" spans="1:3" x14ac:dyDescent="0.25">
      <c r="A7" s="119" t="s">
        <v>118</v>
      </c>
      <c r="B7" s="75">
        <f>RZIS_s!C29+RZIS_s!C21</f>
        <v>10885000</v>
      </c>
      <c r="C7" s="75">
        <f>RZIS_s!D21+RZIS_s!D29</f>
        <v>9333000</v>
      </c>
    </row>
    <row r="8" spans="1:3" ht="13.5" customHeight="1" x14ac:dyDescent="0.25">
      <c r="A8" s="119" t="s">
        <v>119</v>
      </c>
      <c r="B8" s="75">
        <f>'[2]8 '!D8</f>
        <v>5412000</v>
      </c>
      <c r="C8" s="75">
        <v>1559000</v>
      </c>
    </row>
    <row r="9" spans="1:3" hidden="1" x14ac:dyDescent="0.25">
      <c r="A9" s="119" t="s">
        <v>120</v>
      </c>
      <c r="B9" s="75"/>
      <c r="C9" s="75"/>
    </row>
    <row r="10" spans="1:3" ht="25.5" x14ac:dyDescent="0.25">
      <c r="A10" s="119" t="s">
        <v>121</v>
      </c>
      <c r="B10" s="75">
        <f>-'[2]9 '!F6+'[2]9 '!F27</f>
        <v>-552000</v>
      </c>
      <c r="C10" s="75">
        <v>2232000</v>
      </c>
    </row>
    <row r="11" spans="1:3" hidden="1" x14ac:dyDescent="0.25">
      <c r="A11" s="119" t="s">
        <v>120</v>
      </c>
      <c r="B11" s="75"/>
      <c r="C11" s="75"/>
    </row>
    <row r="12" spans="1:3" s="120" customFormat="1" ht="27.6" customHeight="1" x14ac:dyDescent="0.25">
      <c r="A12" s="119" t="s">
        <v>122</v>
      </c>
      <c r="B12" s="75">
        <f>'[2]7'!C23</f>
        <v>31000</v>
      </c>
      <c r="C12" s="75">
        <v>490000</v>
      </c>
    </row>
    <row r="13" spans="1:3" s="120" customFormat="1" ht="26.1" customHeight="1" x14ac:dyDescent="0.25">
      <c r="A13" s="119" t="s">
        <v>123</v>
      </c>
      <c r="B13" s="75">
        <f>-'[2]9 '!F35</f>
        <v>-4019000</v>
      </c>
      <c r="C13" s="75">
        <v>-885000</v>
      </c>
    </row>
    <row r="14" spans="1:3" x14ac:dyDescent="0.25">
      <c r="A14" s="119" t="s">
        <v>124</v>
      </c>
      <c r="B14" s="75">
        <f>'[2]6cd'!E67</f>
        <v>14451000</v>
      </c>
      <c r="C14" s="75">
        <v>12950000</v>
      </c>
    </row>
    <row r="15" spans="1:3" x14ac:dyDescent="0.25">
      <c r="A15" s="119" t="s">
        <v>125</v>
      </c>
      <c r="B15" s="75">
        <f>'[2]7'!C20-'[2]8 '!D15</f>
        <v>956000</v>
      </c>
      <c r="C15" s="75">
        <v>888000</v>
      </c>
    </row>
    <row r="16" spans="1:3" ht="14.1" customHeight="1" x14ac:dyDescent="0.25">
      <c r="A16" s="119" t="s">
        <v>126</v>
      </c>
      <c r="B16" s="75">
        <f>-(Bilans_s!C38+Bilans_s!C40-Bilans_s!D38-Bilans_s!D40)+881000-110000</f>
        <v>3824000</v>
      </c>
      <c r="C16" s="75">
        <v>1084000</v>
      </c>
    </row>
    <row r="17" spans="1:3" ht="16.5" customHeight="1" x14ac:dyDescent="0.25">
      <c r="A17" s="121" t="s">
        <v>127</v>
      </c>
      <c r="B17" s="75">
        <v>516000</v>
      </c>
      <c r="C17" s="75">
        <v>481000</v>
      </c>
    </row>
    <row r="18" spans="1:3" ht="25.5" x14ac:dyDescent="0.25">
      <c r="A18" s="122" t="s">
        <v>128</v>
      </c>
      <c r="B18" s="75">
        <f>Bilans_s!D20-Bilans_s!C20+Bilans_s!D21-Bilans_s!C21</f>
        <v>10996000</v>
      </c>
      <c r="C18" s="75">
        <v>-38906000</v>
      </c>
    </row>
    <row r="19" spans="1:3" x14ac:dyDescent="0.25">
      <c r="A19" s="122" t="s">
        <v>129</v>
      </c>
      <c r="B19" s="75">
        <f>Bilans_s!D19-Bilans_s!C19</f>
        <v>138000</v>
      </c>
      <c r="C19" s="75">
        <v>350000</v>
      </c>
    </row>
    <row r="20" spans="1:3" x14ac:dyDescent="0.25">
      <c r="A20" s="122" t="s">
        <v>130</v>
      </c>
      <c r="B20" s="75">
        <f>(Bilans_s!D26+Bilans_s!D17-Bilans_s!C17-Bilans_s!C26+Bilans_s!D22-Bilans_s!C22)</f>
        <v>2186000</v>
      </c>
      <c r="C20" s="75">
        <v>-20000</v>
      </c>
    </row>
    <row r="21" spans="1:3" ht="26.1" customHeight="1" x14ac:dyDescent="0.25">
      <c r="A21" s="122" t="s">
        <v>131</v>
      </c>
      <c r="B21" s="75">
        <f>Bilans_s!C51+Bilans_s!C55+Bilans_s!C56-Bilans_s!D51-Bilans_s!D55-Bilans_s!D56</f>
        <v>-3846000</v>
      </c>
      <c r="C21" s="75">
        <v>30380000</v>
      </c>
    </row>
    <row r="22" spans="1:3" x14ac:dyDescent="0.25">
      <c r="A22" s="122" t="s">
        <v>132</v>
      </c>
      <c r="B22" s="75">
        <f>-(Bilans_s!C57+Bilans_s!C48+Bilans_s!C49-Bilans_s!D48-Bilans_s!D49-Bilans_s!D58-Bilans_s!D57)</f>
        <v>4005000</v>
      </c>
      <c r="C22" s="75">
        <v>533000</v>
      </c>
    </row>
    <row r="23" spans="1:3" x14ac:dyDescent="0.25">
      <c r="A23" s="122" t="s">
        <v>133</v>
      </c>
      <c r="B23" s="75">
        <f>Bilans_s!C59-Bilans_s!D59</f>
        <v>895000</v>
      </c>
      <c r="C23" s="75">
        <v>-1909000</v>
      </c>
    </row>
    <row r="24" spans="1:3" x14ac:dyDescent="0.25">
      <c r="A24" s="122" t="s">
        <v>134</v>
      </c>
      <c r="B24" s="75">
        <f>Bilans_s!C60-Bilans_s!D60</f>
        <v>124000</v>
      </c>
      <c r="C24" s="75">
        <v>2569000</v>
      </c>
    </row>
    <row r="25" spans="1:3" x14ac:dyDescent="0.25">
      <c r="A25" s="123" t="s">
        <v>135</v>
      </c>
      <c r="B25" s="65">
        <f>SUM(B5:B6)</f>
        <v>66887000</v>
      </c>
      <c r="C25" s="65">
        <f>SUM(C5:C6)</f>
        <v>59674000</v>
      </c>
    </row>
    <row r="26" spans="1:3" x14ac:dyDescent="0.25">
      <c r="A26" s="122" t="s">
        <v>136</v>
      </c>
      <c r="B26" s="74">
        <v>-1769000</v>
      </c>
      <c r="C26" s="74">
        <v>-2447000</v>
      </c>
    </row>
    <row r="27" spans="1:3" x14ac:dyDescent="0.25">
      <c r="A27" s="122" t="s">
        <v>137</v>
      </c>
      <c r="B27" s="75">
        <v>-9963000</v>
      </c>
      <c r="C27" s="74">
        <v>-11587000</v>
      </c>
    </row>
    <row r="28" spans="1:3" ht="22.5" customHeight="1" x14ac:dyDescent="0.25">
      <c r="A28" s="124" t="s">
        <v>138</v>
      </c>
      <c r="B28" s="65">
        <f>SUM(B25:B27)</f>
        <v>55155000</v>
      </c>
      <c r="C28" s="65">
        <f>SUM(C25:C27)</f>
        <v>45640000</v>
      </c>
    </row>
    <row r="29" spans="1:3" s="57" customFormat="1" ht="50.1" customHeight="1" x14ac:dyDescent="0.2">
      <c r="A29" s="442" t="s">
        <v>139</v>
      </c>
      <c r="B29" s="442"/>
      <c r="C29" s="442"/>
    </row>
    <row r="30" spans="1:3" x14ac:dyDescent="0.25">
      <c r="A30" s="440"/>
      <c r="B30" s="441" t="s">
        <v>66</v>
      </c>
      <c r="C30" s="441"/>
    </row>
    <row r="31" spans="1:3" ht="41.1" customHeight="1" x14ac:dyDescent="0.25">
      <c r="A31" s="440"/>
      <c r="B31" s="99" t="str">
        <f>B3</f>
        <v>Okres 
zakończony 
31/12/2023</v>
      </c>
      <c r="C31" s="99" t="str">
        <f>C3</f>
        <v>Okres 
zakończony 31/12/2022</v>
      </c>
    </row>
    <row r="32" spans="1:3" ht="15" customHeight="1" x14ac:dyDescent="0.25">
      <c r="A32" s="116" t="s">
        <v>140</v>
      </c>
      <c r="B32" s="125"/>
      <c r="C32" s="126"/>
    </row>
    <row r="33" spans="1:4" hidden="1" x14ac:dyDescent="0.25">
      <c r="A33" s="122" t="s">
        <v>141</v>
      </c>
      <c r="B33" s="127">
        <v>0</v>
      </c>
      <c r="C33" s="128">
        <v>0</v>
      </c>
    </row>
    <row r="34" spans="1:4" hidden="1" x14ac:dyDescent="0.25">
      <c r="A34" s="122" t="s">
        <v>142</v>
      </c>
      <c r="B34" s="127">
        <v>0</v>
      </c>
      <c r="C34" s="128">
        <v>0</v>
      </c>
    </row>
    <row r="35" spans="1:4" hidden="1" x14ac:dyDescent="0.25">
      <c r="A35" s="122" t="s">
        <v>143</v>
      </c>
      <c r="B35" s="127">
        <v>0</v>
      </c>
      <c r="C35" s="128">
        <v>0</v>
      </c>
    </row>
    <row r="36" spans="1:4" x14ac:dyDescent="0.25">
      <c r="A36" s="119" t="s">
        <v>144</v>
      </c>
      <c r="B36" s="75">
        <f>-3827000-4489000</f>
        <v>-8316000</v>
      </c>
      <c r="C36" s="127">
        <v>-99474000</v>
      </c>
    </row>
    <row r="37" spans="1:4" hidden="1" x14ac:dyDescent="0.25">
      <c r="A37" s="122" t="s">
        <v>145</v>
      </c>
      <c r="B37" s="75"/>
      <c r="C37" s="127">
        <v>0</v>
      </c>
    </row>
    <row r="38" spans="1:4" x14ac:dyDescent="0.25">
      <c r="A38" s="122" t="s">
        <v>146</v>
      </c>
      <c r="B38" s="75">
        <v>0</v>
      </c>
      <c r="C38" s="127">
        <v>-383000</v>
      </c>
    </row>
    <row r="39" spans="1:4" x14ac:dyDescent="0.25">
      <c r="A39" s="122" t="s">
        <v>147</v>
      </c>
      <c r="B39" s="75">
        <v>0</v>
      </c>
      <c r="C39" s="127">
        <v>10000</v>
      </c>
    </row>
    <row r="40" spans="1:4" hidden="1" x14ac:dyDescent="0.25">
      <c r="A40" s="122" t="s">
        <v>148</v>
      </c>
      <c r="B40" s="75"/>
      <c r="C40" s="127">
        <v>0</v>
      </c>
    </row>
    <row r="41" spans="1:4" hidden="1" x14ac:dyDescent="0.25">
      <c r="A41" s="122" t="s">
        <v>149</v>
      </c>
      <c r="B41" s="75"/>
      <c r="C41" s="127"/>
    </row>
    <row r="42" spans="1:4" x14ac:dyDescent="0.25">
      <c r="A42" s="119" t="s">
        <v>150</v>
      </c>
      <c r="B42" s="75">
        <v>-2627000</v>
      </c>
      <c r="C42" s="127">
        <v>-7914000</v>
      </c>
      <c r="D42" s="129"/>
    </row>
    <row r="43" spans="1:4" ht="23.25" customHeight="1" x14ac:dyDescent="0.25">
      <c r="A43" s="119" t="s">
        <v>151</v>
      </c>
      <c r="B43" s="75">
        <v>640000</v>
      </c>
      <c r="C43" s="75">
        <v>329000</v>
      </c>
    </row>
    <row r="44" spans="1:4" x14ac:dyDescent="0.25">
      <c r="A44" s="119" t="s">
        <v>152</v>
      </c>
      <c r="B44" s="75">
        <f>-'[2]15'!I38</f>
        <v>-9468000</v>
      </c>
      <c r="C44" s="75">
        <v>-19287000</v>
      </c>
    </row>
    <row r="45" spans="1:4" hidden="1" x14ac:dyDescent="0.25">
      <c r="A45" s="122"/>
      <c r="B45" s="75"/>
      <c r="C45" s="75"/>
    </row>
    <row r="46" spans="1:4" hidden="1" x14ac:dyDescent="0.25">
      <c r="A46" s="122" t="s">
        <v>153</v>
      </c>
      <c r="B46" s="75"/>
      <c r="C46" s="75"/>
    </row>
    <row r="47" spans="1:4" hidden="1" x14ac:dyDescent="0.25">
      <c r="A47" s="122" t="s">
        <v>154</v>
      </c>
      <c r="B47" s="75">
        <v>0</v>
      </c>
      <c r="C47" s="75">
        <v>0</v>
      </c>
    </row>
    <row r="48" spans="1:4" ht="25.35" customHeight="1" x14ac:dyDescent="0.25">
      <c r="A48" s="124" t="s">
        <v>155</v>
      </c>
      <c r="B48" s="77">
        <f>SUM(B33:B47)</f>
        <v>-19771000</v>
      </c>
      <c r="C48" s="77">
        <f>SUM(C33:C47)</f>
        <v>-126719000</v>
      </c>
    </row>
    <row r="49" spans="1:7" x14ac:dyDescent="0.25">
      <c r="A49" s="116" t="s">
        <v>156</v>
      </c>
      <c r="B49" s="77"/>
      <c r="C49" s="130"/>
    </row>
    <row r="50" spans="1:7" hidden="1" x14ac:dyDescent="0.25">
      <c r="A50" s="122" t="s">
        <v>157</v>
      </c>
      <c r="B50" s="75"/>
      <c r="C50" s="75"/>
    </row>
    <row r="51" spans="1:7" x14ac:dyDescent="0.25">
      <c r="A51" s="122" t="s">
        <v>148</v>
      </c>
      <c r="B51" s="75">
        <v>-12356000</v>
      </c>
      <c r="C51" s="75">
        <v>-3954000</v>
      </c>
    </row>
    <row r="52" spans="1:7" x14ac:dyDescent="0.25">
      <c r="A52" s="122" t="s">
        <v>158</v>
      </c>
      <c r="B52" s="75">
        <f>'[2]23-25'!G73*1000</f>
        <v>-3593000</v>
      </c>
      <c r="C52" s="75">
        <v>-4000</v>
      </c>
    </row>
    <row r="53" spans="1:7" x14ac:dyDescent="0.25">
      <c r="A53" s="122" t="s">
        <v>159</v>
      </c>
      <c r="B53" s="75">
        <f>-'[2]8 '!D4</f>
        <v>-3643000</v>
      </c>
      <c r="C53" s="75">
        <v>-764000</v>
      </c>
    </row>
    <row r="54" spans="1:7" ht="17.45" hidden="1" customHeight="1" x14ac:dyDescent="0.25">
      <c r="A54" s="122" t="s">
        <v>160</v>
      </c>
      <c r="B54" s="75"/>
      <c r="C54" s="75"/>
    </row>
    <row r="55" spans="1:7" x14ac:dyDescent="0.25">
      <c r="A55" s="122" t="s">
        <v>161</v>
      </c>
      <c r="B55" s="75">
        <f>18450000-4000000</f>
        <v>14450000</v>
      </c>
      <c r="C55" s="75">
        <v>69884000</v>
      </c>
    </row>
    <row r="56" spans="1:7" ht="15.95" hidden="1" customHeight="1" x14ac:dyDescent="0.25">
      <c r="A56" s="122" t="s">
        <v>162</v>
      </c>
      <c r="B56" s="75"/>
      <c r="C56" s="75"/>
    </row>
    <row r="57" spans="1:7" ht="27.75" customHeight="1" x14ac:dyDescent="0.25">
      <c r="A57" s="119" t="s">
        <v>163</v>
      </c>
      <c r="B57" s="75">
        <v>-6732000</v>
      </c>
      <c r="C57" s="75">
        <v>-6016000</v>
      </c>
      <c r="G57" s="22"/>
    </row>
    <row r="58" spans="1:7" ht="28.5" customHeight="1" x14ac:dyDescent="0.25">
      <c r="A58" s="124" t="s">
        <v>164</v>
      </c>
      <c r="B58" s="77">
        <f>SUM(B50:B57)</f>
        <v>-11874000</v>
      </c>
      <c r="C58" s="77">
        <f>SUM(C50:C57)</f>
        <v>59146000</v>
      </c>
    </row>
    <row r="59" spans="1:7" x14ac:dyDescent="0.25">
      <c r="A59" s="131" t="s">
        <v>165</v>
      </c>
      <c r="B59" s="75">
        <f>B28+B48+B58</f>
        <v>23510000</v>
      </c>
      <c r="C59" s="75">
        <f>C28+C48+C58</f>
        <v>-21933000</v>
      </c>
    </row>
    <row r="60" spans="1:7" ht="17.45" customHeight="1" x14ac:dyDescent="0.25">
      <c r="A60" s="73" t="s">
        <v>166</v>
      </c>
      <c r="B60" s="75">
        <f>C62</f>
        <v>89406000</v>
      </c>
      <c r="C60" s="75">
        <v>111339000</v>
      </c>
    </row>
    <row r="61" spans="1:7" ht="17.45" hidden="1" customHeight="1" x14ac:dyDescent="0.25">
      <c r="A61" s="73" t="s">
        <v>167</v>
      </c>
      <c r="B61" s="75"/>
      <c r="C61" s="74"/>
    </row>
    <row r="62" spans="1:7" ht="30.75" customHeight="1" x14ac:dyDescent="0.25">
      <c r="A62" s="89" t="s">
        <v>168</v>
      </c>
      <c r="B62" s="100">
        <f>B59+B60+B61</f>
        <v>112916000</v>
      </c>
      <c r="C62" s="100">
        <f>C59+C60</f>
        <v>89406000</v>
      </c>
      <c r="D62" s="78"/>
      <c r="E62" s="78"/>
      <c r="F62" s="78"/>
    </row>
    <row r="63" spans="1:7" ht="15" customHeight="1" x14ac:dyDescent="0.25"/>
    <row r="64" spans="1:7" ht="26.25" customHeight="1" x14ac:dyDescent="0.25">
      <c r="B64" s="22"/>
      <c r="D64" s="78"/>
      <c r="E64" s="78"/>
    </row>
    <row r="65" spans="1:5" ht="23.45" customHeight="1" x14ac:dyDescent="0.25">
      <c r="E65" s="78"/>
    </row>
    <row r="66" spans="1:5" ht="27" customHeight="1" x14ac:dyDescent="0.3">
      <c r="A66" s="133"/>
    </row>
    <row r="67" spans="1:5" ht="18" customHeight="1" x14ac:dyDescent="0.25"/>
  </sheetData>
  <mergeCells count="6">
    <mergeCell ref="A1:C1"/>
    <mergeCell ref="A2:A3"/>
    <mergeCell ref="B2:C2"/>
    <mergeCell ref="A29:C29"/>
    <mergeCell ref="A30:A31"/>
    <mergeCell ref="B30:C30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&amp;L&amp;"Montserrat,Regular"&amp;7&amp;K000000Roczne skonsolidowane sprawozdanie finansowe Grupy Ailleron SA za okres od 1 stycznia 2023 r. do 31 grudnia 2023 r.
(wszystkie kwoty podano w tys. PLN, o ile nie wskazano inaczej)</oddHeader>
    <oddFooter>&amp;C&amp;P</oddFooter>
  </headerFooter>
  <rowBreaks count="1" manualBreakCount="1">
    <brk id="28" max="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322E5-E5C0-4998-ADE8-028C4DEBCFAC}">
  <sheetPr>
    <pageSetUpPr fitToPage="1"/>
  </sheetPr>
  <dimension ref="A1:R36"/>
  <sheetViews>
    <sheetView showGridLines="0" view="pageBreakPreview" topLeftCell="B1" zoomScale="120" zoomScaleNormal="100" zoomScaleSheetLayoutView="120" workbookViewId="0">
      <selection activeCell="Q3" sqref="Q3"/>
    </sheetView>
  </sheetViews>
  <sheetFormatPr defaultColWidth="9.140625" defaultRowHeight="18" x14ac:dyDescent="0.35"/>
  <cols>
    <col min="1" max="1" width="48.7109375" style="134" customWidth="1"/>
    <col min="2" max="2" width="11.7109375" style="134" customWidth="1"/>
    <col min="3" max="3" width="11.28515625" style="134" customWidth="1"/>
    <col min="4" max="4" width="9.85546875" style="134" customWidth="1"/>
    <col min="5" max="5" width="11.5703125" style="134" customWidth="1"/>
    <col min="6" max="6" width="11.42578125" style="134" customWidth="1"/>
    <col min="7" max="7" width="14.28515625" style="134" customWidth="1"/>
    <col min="8" max="8" width="13.85546875" style="134" customWidth="1"/>
    <col min="9" max="9" width="10.85546875" style="134" customWidth="1"/>
    <col min="10" max="10" width="8.42578125" style="134" bestFit="1" customWidth="1"/>
    <col min="11" max="11" width="9.42578125" style="134" bestFit="1" customWidth="1"/>
    <col min="12" max="12" width="7.5703125" style="134" bestFit="1" customWidth="1"/>
    <col min="13" max="13" width="9.85546875" style="134" bestFit="1" customWidth="1"/>
    <col min="14" max="14" width="9" style="134" bestFit="1" customWidth="1"/>
    <col min="15" max="15" width="10.42578125" style="134" bestFit="1" customWidth="1"/>
    <col min="16" max="16" width="13.5703125" style="134" bestFit="1" customWidth="1"/>
    <col min="17" max="17" width="9.42578125" style="134" bestFit="1" customWidth="1"/>
    <col min="18" max="18" width="9.85546875" style="134" bestFit="1" customWidth="1"/>
    <col min="19" max="16384" width="9.140625" style="134"/>
  </cols>
  <sheetData>
    <row r="1" spans="1:18" ht="62.1" customHeight="1" x14ac:dyDescent="0.35">
      <c r="A1" s="442" t="s">
        <v>169</v>
      </c>
      <c r="B1" s="442"/>
      <c r="C1" s="442"/>
      <c r="D1" s="442"/>
      <c r="E1" s="442"/>
      <c r="F1" s="442"/>
      <c r="G1" s="442"/>
      <c r="H1" s="442"/>
      <c r="I1" s="442"/>
    </row>
    <row r="2" spans="1:18" s="136" customFormat="1" ht="12.75" x14ac:dyDescent="0.25">
      <c r="A2" s="443"/>
      <c r="B2" s="445" t="s">
        <v>66</v>
      </c>
      <c r="C2" s="441"/>
      <c r="D2" s="441"/>
      <c r="E2" s="441"/>
      <c r="F2" s="441"/>
      <c r="G2" s="441"/>
      <c r="H2" s="441"/>
      <c r="I2" s="441"/>
      <c r="J2" s="135"/>
    </row>
    <row r="3" spans="1:18" s="140" customFormat="1" ht="88.5" customHeight="1" x14ac:dyDescent="0.25">
      <c r="A3" s="444"/>
      <c r="B3" s="137" t="s">
        <v>170</v>
      </c>
      <c r="C3" s="138" t="s">
        <v>171</v>
      </c>
      <c r="D3" s="138" t="s">
        <v>36</v>
      </c>
      <c r="E3" s="138" t="s">
        <v>37</v>
      </c>
      <c r="F3" s="138" t="s">
        <v>172</v>
      </c>
      <c r="G3" s="138" t="s">
        <v>173</v>
      </c>
      <c r="H3" s="139" t="s">
        <v>39</v>
      </c>
      <c r="I3" s="137" t="s">
        <v>174</v>
      </c>
    </row>
    <row r="4" spans="1:18" s="136" customFormat="1" ht="15" customHeight="1" x14ac:dyDescent="0.25">
      <c r="A4" s="141" t="s">
        <v>175</v>
      </c>
      <c r="B4" s="142">
        <v>3707</v>
      </c>
      <c r="C4" s="143">
        <v>38412</v>
      </c>
      <c r="D4" s="143">
        <v>257</v>
      </c>
      <c r="E4" s="143">
        <v>90691</v>
      </c>
      <c r="F4" s="144">
        <v>-67</v>
      </c>
      <c r="G4" s="143">
        <v>133000</v>
      </c>
      <c r="H4" s="145">
        <v>82456</v>
      </c>
      <c r="I4" s="143">
        <f>G4+H4</f>
        <v>215456</v>
      </c>
    </row>
    <row r="5" spans="1:18" s="136" customFormat="1" ht="15" customHeight="1" x14ac:dyDescent="0.25">
      <c r="A5" s="141" t="s">
        <v>176</v>
      </c>
      <c r="B5" s="146">
        <v>0</v>
      </c>
      <c r="C5" s="146">
        <v>0</v>
      </c>
      <c r="D5" s="146">
        <v>0</v>
      </c>
      <c r="E5" s="146">
        <f>RZIS_s!D37/1000</f>
        <v>13229</v>
      </c>
      <c r="F5" s="147">
        <v>0</v>
      </c>
      <c r="G5" s="146">
        <f>B5+D5+C5+E5+F5</f>
        <v>13229</v>
      </c>
      <c r="H5" s="148">
        <f>RZIS_s!D38/1000</f>
        <v>25316</v>
      </c>
      <c r="I5" s="146">
        <f>G5+H5</f>
        <v>38545</v>
      </c>
      <c r="J5" s="149"/>
    </row>
    <row r="6" spans="1:18" s="136" customFormat="1" ht="15" customHeight="1" x14ac:dyDescent="0.25">
      <c r="A6" s="150" t="s">
        <v>177</v>
      </c>
      <c r="B6" s="146">
        <v>0</v>
      </c>
      <c r="C6" s="146">
        <v>0</v>
      </c>
      <c r="D6" s="146">
        <v>0</v>
      </c>
      <c r="E6" s="146">
        <v>0</v>
      </c>
      <c r="F6" s="147">
        <v>604</v>
      </c>
      <c r="G6" s="147">
        <f>B6+D6+C6+E6+F6</f>
        <v>604</v>
      </c>
      <c r="H6" s="151">
        <v>672</v>
      </c>
      <c r="I6" s="147">
        <f>G6+H6</f>
        <v>1276</v>
      </c>
      <c r="J6" s="149"/>
    </row>
    <row r="7" spans="1:18" s="136" customFormat="1" ht="15" customHeight="1" x14ac:dyDescent="0.25">
      <c r="A7" s="150" t="s">
        <v>178</v>
      </c>
      <c r="B7" s="142">
        <f t="shared" ref="B7:H7" si="0">B5+B6</f>
        <v>0</v>
      </c>
      <c r="C7" s="143">
        <f t="shared" si="0"/>
        <v>0</v>
      </c>
      <c r="D7" s="143">
        <f t="shared" si="0"/>
        <v>0</v>
      </c>
      <c r="E7" s="144">
        <f t="shared" si="0"/>
        <v>13229</v>
      </c>
      <c r="F7" s="144">
        <f t="shared" si="0"/>
        <v>604</v>
      </c>
      <c r="G7" s="144">
        <f t="shared" si="0"/>
        <v>13833</v>
      </c>
      <c r="H7" s="152">
        <f t="shared" si="0"/>
        <v>25988</v>
      </c>
      <c r="I7" s="144">
        <f>G7+H7</f>
        <v>39821</v>
      </c>
      <c r="J7" s="149"/>
    </row>
    <row r="8" spans="1:18" s="136" customFormat="1" ht="15" customHeight="1" x14ac:dyDescent="0.25">
      <c r="A8" s="153" t="s">
        <v>179</v>
      </c>
      <c r="B8" s="154">
        <v>0</v>
      </c>
      <c r="C8" s="155">
        <v>0</v>
      </c>
      <c r="D8" s="155">
        <v>0</v>
      </c>
      <c r="E8" s="156">
        <v>0</v>
      </c>
      <c r="F8" s="156">
        <v>0</v>
      </c>
      <c r="G8" s="156">
        <v>0</v>
      </c>
      <c r="H8" s="157">
        <v>5874</v>
      </c>
      <c r="I8" s="158">
        <f t="shared" ref="I8:I11" si="1">G8+H8</f>
        <v>5874</v>
      </c>
      <c r="J8" s="149"/>
    </row>
    <row r="9" spans="1:18" s="136" customFormat="1" ht="15" customHeight="1" x14ac:dyDescent="0.25">
      <c r="A9" s="153" t="s">
        <v>180</v>
      </c>
      <c r="B9" s="159">
        <v>0</v>
      </c>
      <c r="C9" s="146">
        <v>0</v>
      </c>
      <c r="D9" s="146">
        <v>0</v>
      </c>
      <c r="E9" s="147">
        <v>-1476</v>
      </c>
      <c r="F9" s="147">
        <v>0</v>
      </c>
      <c r="G9" s="147">
        <f>E9</f>
        <v>-1476</v>
      </c>
      <c r="H9" s="151">
        <v>1476</v>
      </c>
      <c r="I9" s="158">
        <f t="shared" si="1"/>
        <v>0</v>
      </c>
      <c r="J9" s="149"/>
    </row>
    <row r="10" spans="1:18" s="136" customFormat="1" ht="15" hidden="1" customHeight="1" x14ac:dyDescent="0.25">
      <c r="A10" s="153" t="s">
        <v>157</v>
      </c>
      <c r="B10" s="159">
        <v>0</v>
      </c>
      <c r="C10" s="146">
        <v>0</v>
      </c>
      <c r="D10" s="146">
        <v>0</v>
      </c>
      <c r="E10" s="147">
        <v>0</v>
      </c>
      <c r="F10" s="147">
        <v>0</v>
      </c>
      <c r="G10" s="147">
        <v>0</v>
      </c>
      <c r="H10" s="151">
        <v>0</v>
      </c>
      <c r="I10" s="158">
        <f t="shared" si="1"/>
        <v>0</v>
      </c>
    </row>
    <row r="11" spans="1:18" s="136" customFormat="1" ht="15" customHeight="1" x14ac:dyDescent="0.25">
      <c r="A11" s="153" t="s">
        <v>181</v>
      </c>
      <c r="B11" s="159">
        <v>0</v>
      </c>
      <c r="C11" s="146">
        <v>0</v>
      </c>
      <c r="D11" s="146">
        <v>480</v>
      </c>
      <c r="E11" s="147">
        <v>0</v>
      </c>
      <c r="F11" s="147">
        <v>0</v>
      </c>
      <c r="G11" s="147">
        <f>D11</f>
        <v>480</v>
      </c>
      <c r="H11" s="151">
        <v>0</v>
      </c>
      <c r="I11" s="158">
        <f t="shared" si="1"/>
        <v>480</v>
      </c>
    </row>
    <row r="12" spans="1:18" s="136" customFormat="1" ht="15" customHeight="1" x14ac:dyDescent="0.25">
      <c r="A12" s="150" t="s">
        <v>182</v>
      </c>
      <c r="B12" s="160">
        <v>0</v>
      </c>
      <c r="C12" s="161">
        <v>0</v>
      </c>
      <c r="D12" s="161">
        <v>0</v>
      </c>
      <c r="E12" s="161">
        <v>-3954</v>
      </c>
      <c r="F12" s="162">
        <v>0</v>
      </c>
      <c r="G12" s="161">
        <f>B12+D12+C12+E12+F12</f>
        <v>-3954</v>
      </c>
      <c r="H12" s="163">
        <v>0</v>
      </c>
      <c r="I12" s="160">
        <f>G12+H12</f>
        <v>-3954</v>
      </c>
    </row>
    <row r="13" spans="1:18" s="136" customFormat="1" ht="15" customHeight="1" x14ac:dyDescent="0.25">
      <c r="A13" s="153" t="s">
        <v>183</v>
      </c>
      <c r="B13" s="143">
        <f t="shared" ref="B13:D13" si="2">SUM(B7:B12)</f>
        <v>0</v>
      </c>
      <c r="C13" s="143">
        <f t="shared" si="2"/>
        <v>0</v>
      </c>
      <c r="D13" s="143">
        <f t="shared" si="2"/>
        <v>480</v>
      </c>
      <c r="E13" s="143">
        <f>SUM(E7:E12)</f>
        <v>7799</v>
      </c>
      <c r="F13" s="143">
        <f>SUM(F7:F12)</f>
        <v>604</v>
      </c>
      <c r="G13" s="143">
        <f>SUM(G7:G12)</f>
        <v>8883</v>
      </c>
      <c r="H13" s="143">
        <f>SUM(H7:H12)</f>
        <v>33338</v>
      </c>
      <c r="I13" s="142">
        <f>G13+H13</f>
        <v>42221</v>
      </c>
      <c r="J13" s="149"/>
      <c r="K13" s="149"/>
      <c r="L13" s="149"/>
      <c r="M13" s="149"/>
      <c r="N13" s="149"/>
      <c r="O13" s="149"/>
    </row>
    <row r="14" spans="1:18" s="136" customFormat="1" ht="15" customHeight="1" x14ac:dyDescent="0.25">
      <c r="A14" s="164" t="s">
        <v>184</v>
      </c>
      <c r="B14" s="146">
        <f t="shared" ref="B14:I14" si="3">B4+B13</f>
        <v>3707</v>
      </c>
      <c r="C14" s="146">
        <f t="shared" si="3"/>
        <v>38412</v>
      </c>
      <c r="D14" s="146">
        <f t="shared" si="3"/>
        <v>737</v>
      </c>
      <c r="E14" s="146">
        <f t="shared" si="3"/>
        <v>98490</v>
      </c>
      <c r="F14" s="161">
        <f t="shared" si="3"/>
        <v>537</v>
      </c>
      <c r="G14" s="161">
        <f t="shared" si="3"/>
        <v>141883</v>
      </c>
      <c r="H14" s="163">
        <f t="shared" si="3"/>
        <v>115794</v>
      </c>
      <c r="I14" s="146">
        <f t="shared" si="3"/>
        <v>257677</v>
      </c>
      <c r="J14" s="149"/>
      <c r="K14" s="149"/>
      <c r="L14" s="149"/>
      <c r="M14" s="149"/>
      <c r="N14" s="149"/>
      <c r="O14" s="149"/>
      <c r="P14" s="149"/>
      <c r="Q14" s="149"/>
    </row>
    <row r="15" spans="1:18" s="136" customFormat="1" ht="28.5" customHeight="1" x14ac:dyDescent="0.25">
      <c r="A15" s="165"/>
      <c r="B15" s="166"/>
      <c r="C15" s="166"/>
      <c r="D15" s="166"/>
      <c r="E15" s="166"/>
      <c r="F15" s="166"/>
      <c r="G15" s="166"/>
      <c r="H15" s="166"/>
      <c r="I15" s="166"/>
      <c r="R15" s="167"/>
    </row>
    <row r="16" spans="1:18" s="136" customFormat="1" ht="15" customHeight="1" x14ac:dyDescent="0.25">
      <c r="A16" s="168" t="s">
        <v>185</v>
      </c>
      <c r="B16" s="142">
        <f>B14</f>
        <v>3707</v>
      </c>
      <c r="C16" s="143">
        <f>C14</f>
        <v>38412</v>
      </c>
      <c r="D16" s="143">
        <f>D14</f>
        <v>737</v>
      </c>
      <c r="E16" s="143">
        <f>E14</f>
        <v>98490</v>
      </c>
      <c r="F16" s="143">
        <f>F14</f>
        <v>537</v>
      </c>
      <c r="G16" s="143">
        <f>B16+D16+C16+E16+F16</f>
        <v>141883</v>
      </c>
      <c r="H16" s="145">
        <f>H14</f>
        <v>115794</v>
      </c>
      <c r="I16" s="143">
        <f t="shared" ref="I16:I25" si="4">G16+H16</f>
        <v>257677</v>
      </c>
      <c r="J16" s="169"/>
      <c r="K16" s="169"/>
      <c r="L16" s="169"/>
      <c r="M16" s="169"/>
      <c r="N16" s="169"/>
      <c r="O16" s="169"/>
      <c r="P16" s="169"/>
      <c r="Q16" s="170"/>
      <c r="R16" s="149"/>
    </row>
    <row r="17" spans="1:18" s="136" customFormat="1" ht="15" customHeight="1" x14ac:dyDescent="0.25">
      <c r="A17" s="141" t="s">
        <v>186</v>
      </c>
      <c r="B17" s="159"/>
      <c r="C17" s="146"/>
      <c r="D17" s="143"/>
      <c r="E17" s="143">
        <f>96-74858</f>
        <v>-74762</v>
      </c>
      <c r="F17" s="143"/>
      <c r="G17" s="155">
        <f>E17</f>
        <v>-74762</v>
      </c>
      <c r="H17" s="146">
        <v>-439</v>
      </c>
      <c r="I17" s="154">
        <f t="shared" si="4"/>
        <v>-75201</v>
      </c>
      <c r="J17" s="149"/>
      <c r="K17" s="149"/>
      <c r="L17" s="149"/>
      <c r="M17" s="149"/>
      <c r="N17" s="149"/>
      <c r="O17" s="149"/>
      <c r="P17" s="149"/>
      <c r="Q17" s="149"/>
      <c r="R17" s="149"/>
    </row>
    <row r="18" spans="1:18" s="136" customFormat="1" ht="15" customHeight="1" x14ac:dyDescent="0.25">
      <c r="A18" s="171" t="s">
        <v>187</v>
      </c>
      <c r="B18" s="142">
        <f>B16+B17</f>
        <v>3707</v>
      </c>
      <c r="C18" s="143">
        <f t="shared" ref="C18:F18" si="5">C16+C17</f>
        <v>38412</v>
      </c>
      <c r="D18" s="143">
        <f t="shared" si="5"/>
        <v>737</v>
      </c>
      <c r="E18" s="143">
        <f t="shared" si="5"/>
        <v>23728</v>
      </c>
      <c r="F18" s="143">
        <f t="shared" si="5"/>
        <v>537</v>
      </c>
      <c r="G18" s="155">
        <f>G16+G17</f>
        <v>67121</v>
      </c>
      <c r="H18" s="145">
        <f>H16+H17</f>
        <v>115355</v>
      </c>
      <c r="I18" s="154">
        <f t="shared" si="4"/>
        <v>182476</v>
      </c>
    </row>
    <row r="19" spans="1:18" s="136" customFormat="1" ht="15" customHeight="1" x14ac:dyDescent="0.25">
      <c r="A19" s="168" t="s">
        <v>176</v>
      </c>
      <c r="B19" s="159">
        <v>0</v>
      </c>
      <c r="C19" s="146">
        <v>0</v>
      </c>
      <c r="D19" s="146">
        <v>0</v>
      </c>
      <c r="E19" s="155">
        <f>RZIS_s!C37/1000</f>
        <v>3532</v>
      </c>
      <c r="F19" s="146">
        <v>0</v>
      </c>
      <c r="G19" s="155">
        <f>B19+D19+C19+E19+F19</f>
        <v>3532</v>
      </c>
      <c r="H19" s="172">
        <f>RZIS_s!C38/1000</f>
        <v>17353</v>
      </c>
      <c r="I19" s="154">
        <f t="shared" si="4"/>
        <v>20885</v>
      </c>
      <c r="J19" s="149"/>
    </row>
    <row r="20" spans="1:18" s="136" customFormat="1" ht="15" customHeight="1" x14ac:dyDescent="0.25">
      <c r="A20" s="173" t="s">
        <v>177</v>
      </c>
      <c r="B20" s="159">
        <v>0</v>
      </c>
      <c r="C20" s="146">
        <v>0</v>
      </c>
      <c r="D20" s="146">
        <v>0</v>
      </c>
      <c r="E20" s="146">
        <v>0</v>
      </c>
      <c r="F20" s="146">
        <v>-3569</v>
      </c>
      <c r="G20" s="146">
        <f>B20+D20+C20+E20+F20</f>
        <v>-3569</v>
      </c>
      <c r="H20" s="146">
        <v>-3500</v>
      </c>
      <c r="I20" s="159">
        <f t="shared" si="4"/>
        <v>-7069</v>
      </c>
      <c r="J20" s="149"/>
    </row>
    <row r="21" spans="1:18" s="136" customFormat="1" ht="15" customHeight="1" x14ac:dyDescent="0.25">
      <c r="A21" s="83" t="s">
        <v>178</v>
      </c>
      <c r="B21" s="142">
        <f t="shared" ref="B21:H21" si="6">B19+B20</f>
        <v>0</v>
      </c>
      <c r="C21" s="143">
        <f t="shared" si="6"/>
        <v>0</v>
      </c>
      <c r="D21" s="143">
        <f t="shared" si="6"/>
        <v>0</v>
      </c>
      <c r="E21" s="143">
        <f t="shared" si="6"/>
        <v>3532</v>
      </c>
      <c r="F21" s="143">
        <f t="shared" si="6"/>
        <v>-3569</v>
      </c>
      <c r="G21" s="143">
        <f t="shared" si="6"/>
        <v>-37</v>
      </c>
      <c r="H21" s="143">
        <f t="shared" si="6"/>
        <v>13853</v>
      </c>
      <c r="I21" s="142">
        <f t="shared" si="4"/>
        <v>13816</v>
      </c>
      <c r="J21" s="149"/>
    </row>
    <row r="22" spans="1:18" s="136" customFormat="1" ht="15" customHeight="1" x14ac:dyDescent="0.25">
      <c r="A22" s="173" t="s">
        <v>179</v>
      </c>
      <c r="B22" s="159">
        <v>0</v>
      </c>
      <c r="C22" s="146">
        <v>0</v>
      </c>
      <c r="D22" s="146">
        <v>0</v>
      </c>
      <c r="E22" s="146">
        <v>0</v>
      </c>
      <c r="F22" s="146">
        <v>0</v>
      </c>
      <c r="G22" s="146">
        <v>0</v>
      </c>
      <c r="H22" s="146">
        <v>0</v>
      </c>
      <c r="I22" s="159">
        <f t="shared" si="4"/>
        <v>0</v>
      </c>
    </row>
    <row r="23" spans="1:18" s="175" customFormat="1" ht="14.25" customHeight="1" x14ac:dyDescent="0.25">
      <c r="A23" s="174" t="s">
        <v>180</v>
      </c>
      <c r="B23" s="158">
        <v>0</v>
      </c>
      <c r="C23" s="147">
        <v>0</v>
      </c>
      <c r="D23" s="147">
        <v>0</v>
      </c>
      <c r="E23" s="147">
        <f>545-488-129+28971</f>
        <v>28899</v>
      </c>
      <c r="F23" s="147">
        <v>0</v>
      </c>
      <c r="G23" s="147">
        <f>B23+D23+C23+E23+F23</f>
        <v>28899</v>
      </c>
      <c r="H23" s="147">
        <f>-56-3752</f>
        <v>-3808</v>
      </c>
      <c r="I23" s="158">
        <f t="shared" si="4"/>
        <v>25091</v>
      </c>
    </row>
    <row r="24" spans="1:18" s="136" customFormat="1" ht="15" customHeight="1" x14ac:dyDescent="0.25">
      <c r="A24" s="173" t="s">
        <v>181</v>
      </c>
      <c r="B24" s="159">
        <v>0</v>
      </c>
      <c r="C24" s="146">
        <v>0</v>
      </c>
      <c r="D24" s="146">
        <v>516</v>
      </c>
      <c r="E24" s="146">
        <v>0</v>
      </c>
      <c r="F24" s="146">
        <v>0</v>
      </c>
      <c r="G24" s="146">
        <f>B24+D24+C24+E24+F24</f>
        <v>516</v>
      </c>
      <c r="H24" s="146">
        <v>0</v>
      </c>
      <c r="I24" s="159">
        <f t="shared" si="4"/>
        <v>516</v>
      </c>
    </row>
    <row r="25" spans="1:18" s="136" customFormat="1" ht="15" customHeight="1" x14ac:dyDescent="0.25">
      <c r="A25" s="176" t="s">
        <v>182</v>
      </c>
      <c r="B25" s="159">
        <v>0</v>
      </c>
      <c r="C25" s="146">
        <v>0</v>
      </c>
      <c r="D25" s="146">
        <v>0</v>
      </c>
      <c r="E25" s="146">
        <v>-12355</v>
      </c>
      <c r="F25" s="146">
        <v>0</v>
      </c>
      <c r="G25" s="146">
        <f>B25+D25+C25+E25+F25</f>
        <v>-12355</v>
      </c>
      <c r="H25" s="146">
        <v>0</v>
      </c>
      <c r="I25" s="159">
        <f t="shared" si="4"/>
        <v>-12355</v>
      </c>
    </row>
    <row r="26" spans="1:18" s="136" customFormat="1" ht="15" customHeight="1" x14ac:dyDescent="0.25">
      <c r="A26" s="173" t="s">
        <v>183</v>
      </c>
      <c r="B26" s="142">
        <f t="shared" ref="B26:I26" si="7">B21+B22+B23+B24+B25</f>
        <v>0</v>
      </c>
      <c r="C26" s="143">
        <f t="shared" si="7"/>
        <v>0</v>
      </c>
      <c r="D26" s="143">
        <f t="shared" si="7"/>
        <v>516</v>
      </c>
      <c r="E26" s="143">
        <f t="shared" si="7"/>
        <v>20076</v>
      </c>
      <c r="F26" s="143">
        <f t="shared" si="7"/>
        <v>-3569</v>
      </c>
      <c r="G26" s="143">
        <f t="shared" si="7"/>
        <v>17023</v>
      </c>
      <c r="H26" s="145">
        <f t="shared" si="7"/>
        <v>10045</v>
      </c>
      <c r="I26" s="143">
        <f t="shared" si="7"/>
        <v>27068</v>
      </c>
    </row>
    <row r="27" spans="1:18" s="136" customFormat="1" ht="15" customHeight="1" x14ac:dyDescent="0.25">
      <c r="A27" s="82" t="s">
        <v>188</v>
      </c>
      <c r="B27" s="142">
        <f>B18+B26</f>
        <v>3707</v>
      </c>
      <c r="C27" s="143">
        <f t="shared" ref="C27:H27" si="8">C18+C26</f>
        <v>38412</v>
      </c>
      <c r="D27" s="143">
        <f t="shared" si="8"/>
        <v>1253</v>
      </c>
      <c r="E27" s="143">
        <f t="shared" si="8"/>
        <v>43804</v>
      </c>
      <c r="F27" s="143">
        <f t="shared" si="8"/>
        <v>-3032</v>
      </c>
      <c r="G27" s="143">
        <f t="shared" si="8"/>
        <v>84144</v>
      </c>
      <c r="H27" s="143">
        <f t="shared" si="8"/>
        <v>125400</v>
      </c>
      <c r="I27" s="142">
        <f>I18+I26</f>
        <v>209544</v>
      </c>
      <c r="J27" s="149"/>
      <c r="K27" s="149"/>
      <c r="L27" s="149"/>
      <c r="M27" s="149"/>
      <c r="N27" s="149"/>
      <c r="O27" s="149"/>
      <c r="P27" s="177"/>
      <c r="Q27" s="149"/>
    </row>
    <row r="28" spans="1:18" ht="17.25" customHeight="1" x14ac:dyDescent="0.35">
      <c r="N28" s="178"/>
    </row>
    <row r="29" spans="1:18" ht="30" customHeight="1" x14ac:dyDescent="0.35"/>
    <row r="30" spans="1:18" ht="16.5" customHeight="1" x14ac:dyDescent="0.35"/>
    <row r="36" spans="1:1" ht="19.5" x14ac:dyDescent="0.4">
      <c r="A36" s="179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0" fitToHeight="0" orientation="portrait" r:id="rId1"/>
  <headerFooter>
    <oddHeader>&amp;L&amp;"Montserrat,Regular"&amp;7&amp;K000000Roczne skonsolidowane sprawozdanie finansowe Grupy Ailleron SA za okres od 1 stycznia 2023 r. do 31 grudnia 2023 r.
(wszystkie kwoty podano w tys. PLN, o ile nie wskazano inaczej)</oddHead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0A59-EBF1-43E7-BB8E-CED6817F54CB}">
  <sheetPr>
    <pageSetUpPr fitToPage="1"/>
  </sheetPr>
  <dimension ref="A1:H56"/>
  <sheetViews>
    <sheetView showGridLines="0" view="pageBreakPreview" topLeftCell="A38" zoomScale="120" zoomScaleNormal="100" zoomScaleSheetLayoutView="120" workbookViewId="0">
      <selection activeCell="A56" sqref="A56:XFD56"/>
    </sheetView>
  </sheetViews>
  <sheetFormatPr defaultColWidth="8.85546875" defaultRowHeight="15" x14ac:dyDescent="0.25"/>
  <cols>
    <col min="1" max="1" width="56.42578125" style="186" customWidth="1"/>
    <col min="2" max="2" width="9.7109375" style="237" customWidth="1"/>
    <col min="3" max="3" width="14.5703125" style="186" customWidth="1"/>
    <col min="4" max="4" width="15.5703125" style="186" customWidth="1"/>
    <col min="5" max="5" width="21.85546875" style="186" bestFit="1" customWidth="1"/>
    <col min="6" max="16384" width="8.85546875" style="186"/>
  </cols>
  <sheetData>
    <row r="1" spans="1:7" s="181" customFormat="1" ht="30.6" customHeight="1" x14ac:dyDescent="0.25">
      <c r="A1" s="455" t="s">
        <v>189</v>
      </c>
      <c r="B1" s="455"/>
      <c r="C1" s="455"/>
      <c r="D1" s="455"/>
      <c r="E1" s="180"/>
    </row>
    <row r="2" spans="1:7" s="183" customFormat="1" ht="25.35" customHeight="1" x14ac:dyDescent="0.35">
      <c r="A2" s="456" t="s">
        <v>1</v>
      </c>
      <c r="B2" s="456"/>
      <c r="C2" s="456"/>
      <c r="D2" s="456"/>
      <c r="E2" s="182"/>
    </row>
    <row r="3" spans="1:7" s="183" customFormat="1" ht="36" customHeight="1" x14ac:dyDescent="0.35">
      <c r="A3" s="457" t="s">
        <v>2</v>
      </c>
      <c r="B3" s="457"/>
      <c r="C3" s="457"/>
      <c r="D3" s="457"/>
      <c r="E3" s="184"/>
    </row>
    <row r="4" spans="1:7" s="185" customFormat="1" ht="36" customHeight="1" x14ac:dyDescent="0.2">
      <c r="A4" s="458" t="s">
        <v>190</v>
      </c>
      <c r="B4" s="458"/>
      <c r="C4" s="458"/>
      <c r="D4" s="458"/>
    </row>
    <row r="5" spans="1:7" x14ac:dyDescent="0.25">
      <c r="A5" s="447" t="s">
        <v>4</v>
      </c>
      <c r="B5" s="449" t="s">
        <v>5</v>
      </c>
      <c r="C5" s="459" t="s">
        <v>6</v>
      </c>
      <c r="D5" s="459"/>
    </row>
    <row r="6" spans="1:7" ht="27.6" customHeight="1" x14ac:dyDescent="0.25">
      <c r="A6" s="448"/>
      <c r="B6" s="450"/>
      <c r="C6" s="187" t="s">
        <v>191</v>
      </c>
      <c r="D6" s="187" t="s">
        <v>192</v>
      </c>
    </row>
    <row r="7" spans="1:7" ht="18" x14ac:dyDescent="0.25">
      <c r="A7" s="188"/>
      <c r="B7" s="189"/>
      <c r="C7" s="190"/>
      <c r="D7" s="190"/>
    </row>
    <row r="8" spans="1:7" s="195" customFormat="1" ht="15" customHeight="1" x14ac:dyDescent="0.25">
      <c r="A8" s="191" t="s">
        <v>9</v>
      </c>
      <c r="B8" s="192"/>
      <c r="C8" s="193">
        <f>SUM(C9:C14)</f>
        <v>98969</v>
      </c>
      <c r="D8" s="193">
        <f>SUM(D9:D14)</f>
        <v>76126</v>
      </c>
      <c r="E8" s="194"/>
    </row>
    <row r="9" spans="1:7" s="195" customFormat="1" ht="15" customHeight="1" x14ac:dyDescent="0.25">
      <c r="A9" s="196" t="s">
        <v>10</v>
      </c>
      <c r="B9" s="197">
        <v>15</v>
      </c>
      <c r="C9" s="198">
        <v>20147</v>
      </c>
      <c r="D9" s="198">
        <v>11748</v>
      </c>
      <c r="E9" s="194"/>
      <c r="F9" s="199"/>
      <c r="G9" s="200"/>
    </row>
    <row r="10" spans="1:7" s="195" customFormat="1" ht="15" customHeight="1" x14ac:dyDescent="0.25">
      <c r="A10" s="196" t="s">
        <v>12</v>
      </c>
      <c r="B10" s="197">
        <v>16</v>
      </c>
      <c r="C10" s="198">
        <v>31676</v>
      </c>
      <c r="D10" s="198">
        <v>25236</v>
      </c>
      <c r="E10" s="194"/>
      <c r="F10" s="199"/>
    </row>
    <row r="11" spans="1:7" s="195" customFormat="1" ht="15" customHeight="1" x14ac:dyDescent="0.25">
      <c r="A11" s="196" t="s">
        <v>13</v>
      </c>
      <c r="B11" s="197">
        <v>18</v>
      </c>
      <c r="C11" s="198">
        <v>30693</v>
      </c>
      <c r="D11" s="198">
        <v>31205</v>
      </c>
      <c r="E11" s="194"/>
      <c r="F11" s="199"/>
    </row>
    <row r="12" spans="1:7" s="195" customFormat="1" ht="15" hidden="1" customHeight="1" x14ac:dyDescent="0.25">
      <c r="A12" s="196" t="s">
        <v>14</v>
      </c>
      <c r="B12" s="197">
        <v>10</v>
      </c>
      <c r="C12" s="198"/>
      <c r="D12" s="201"/>
      <c r="E12" s="194"/>
      <c r="F12" s="199"/>
    </row>
    <row r="13" spans="1:7" s="195" customFormat="1" ht="15" customHeight="1" x14ac:dyDescent="0.25">
      <c r="A13" s="196" t="s">
        <v>193</v>
      </c>
      <c r="B13" s="197">
        <v>17</v>
      </c>
      <c r="C13" s="198">
        <v>16254</v>
      </c>
      <c r="D13" s="198">
        <v>7660</v>
      </c>
      <c r="E13" s="194"/>
      <c r="F13" s="199"/>
    </row>
    <row r="14" spans="1:7" s="195" customFormat="1" ht="15" customHeight="1" x14ac:dyDescent="0.25">
      <c r="A14" s="196" t="s">
        <v>16</v>
      </c>
      <c r="B14" s="202">
        <v>20</v>
      </c>
      <c r="C14" s="198">
        <v>199</v>
      </c>
      <c r="D14" s="198">
        <v>277</v>
      </c>
      <c r="E14" s="194"/>
      <c r="F14" s="199"/>
    </row>
    <row r="15" spans="1:7" s="195" customFormat="1" ht="15" customHeight="1" x14ac:dyDescent="0.25">
      <c r="A15" s="191" t="s">
        <v>18</v>
      </c>
      <c r="B15" s="192"/>
      <c r="C15" s="203">
        <f>SUM(C16:C24)</f>
        <v>20086</v>
      </c>
      <c r="D15" s="203">
        <f>SUM(D16:D24)</f>
        <v>39892</v>
      </c>
      <c r="E15" s="194"/>
      <c r="F15" s="199"/>
    </row>
    <row r="16" spans="1:7" s="195" customFormat="1" ht="15" customHeight="1" x14ac:dyDescent="0.25">
      <c r="A16" s="196" t="s">
        <v>19</v>
      </c>
      <c r="B16" s="202">
        <v>21</v>
      </c>
      <c r="C16" s="198">
        <v>7</v>
      </c>
      <c r="D16" s="198">
        <v>59</v>
      </c>
      <c r="E16" s="194"/>
      <c r="F16" s="199"/>
    </row>
    <row r="17" spans="1:8" s="195" customFormat="1" ht="15" customHeight="1" x14ac:dyDescent="0.25">
      <c r="A17" s="196" t="s">
        <v>194</v>
      </c>
      <c r="B17" s="197">
        <v>22</v>
      </c>
      <c r="C17" s="198">
        <v>11891</v>
      </c>
      <c r="D17" s="198">
        <v>11633</v>
      </c>
      <c r="E17" s="452"/>
      <c r="F17" s="452"/>
      <c r="G17" s="452"/>
      <c r="H17" s="452"/>
    </row>
    <row r="18" spans="1:8" s="195" customFormat="1" ht="15" customHeight="1" x14ac:dyDescent="0.25">
      <c r="A18" s="196" t="s">
        <v>21</v>
      </c>
      <c r="B18" s="197"/>
      <c r="C18" s="198">
        <v>2107</v>
      </c>
      <c r="D18" s="198">
        <v>1526</v>
      </c>
      <c r="E18" s="452"/>
      <c r="F18" s="452"/>
      <c r="G18" s="452"/>
      <c r="H18" s="452"/>
    </row>
    <row r="19" spans="1:8" s="195" customFormat="1" ht="15" customHeight="1" x14ac:dyDescent="0.25">
      <c r="A19" s="196" t="s">
        <v>193</v>
      </c>
      <c r="B19" s="197">
        <v>17</v>
      </c>
      <c r="C19" s="198">
        <v>2272</v>
      </c>
      <c r="D19" s="198">
        <v>2908</v>
      </c>
      <c r="E19" s="452"/>
      <c r="F19" s="452"/>
      <c r="G19" s="452"/>
      <c r="H19" s="452"/>
    </row>
    <row r="20" spans="1:8" s="195" customFormat="1" ht="15" customHeight="1" x14ac:dyDescent="0.25">
      <c r="A20" s="196" t="s">
        <v>22</v>
      </c>
      <c r="B20" s="197">
        <v>6.23</v>
      </c>
      <c r="C20" s="198">
        <v>859</v>
      </c>
      <c r="D20" s="198">
        <v>4227</v>
      </c>
      <c r="E20" s="194"/>
      <c r="F20" s="199"/>
    </row>
    <row r="21" spans="1:8" s="195" customFormat="1" ht="15" customHeight="1" x14ac:dyDescent="0.25">
      <c r="A21" s="196" t="s">
        <v>15</v>
      </c>
      <c r="B21" s="202">
        <v>19</v>
      </c>
      <c r="C21" s="201">
        <v>0</v>
      </c>
      <c r="D21" s="198">
        <v>1705</v>
      </c>
      <c r="E21" s="194"/>
      <c r="F21" s="199"/>
      <c r="H21" s="199"/>
    </row>
    <row r="22" spans="1:8" s="195" customFormat="1" ht="15" hidden="1" customHeight="1" x14ac:dyDescent="0.25">
      <c r="A22" s="196" t="s">
        <v>195</v>
      </c>
      <c r="B22" s="202"/>
      <c r="C22" s="201"/>
      <c r="D22" s="201"/>
      <c r="E22" s="194"/>
      <c r="F22" s="199"/>
      <c r="H22" s="199"/>
    </row>
    <row r="23" spans="1:8" s="195" customFormat="1" ht="15" customHeight="1" x14ac:dyDescent="0.25">
      <c r="A23" s="196" t="s">
        <v>25</v>
      </c>
      <c r="B23" s="202">
        <v>10</v>
      </c>
      <c r="C23" s="198">
        <v>758</v>
      </c>
      <c r="D23" s="204">
        <v>943</v>
      </c>
      <c r="E23" s="194"/>
      <c r="F23" s="205"/>
    </row>
    <row r="24" spans="1:8" s="195" customFormat="1" ht="15" customHeight="1" x14ac:dyDescent="0.25">
      <c r="A24" s="196" t="s">
        <v>27</v>
      </c>
      <c r="B24" s="202">
        <v>36</v>
      </c>
      <c r="C24" s="206">
        <v>2192</v>
      </c>
      <c r="D24" s="207">
        <v>16891</v>
      </c>
      <c r="E24" s="194"/>
      <c r="F24" s="199"/>
    </row>
    <row r="25" spans="1:8" s="195" customFormat="1" ht="15" hidden="1" customHeight="1" x14ac:dyDescent="0.25">
      <c r="A25" s="208" t="s">
        <v>196</v>
      </c>
      <c r="B25" s="209">
        <v>12</v>
      </c>
      <c r="C25" s="210"/>
      <c r="D25" s="211"/>
      <c r="E25" s="194"/>
      <c r="F25" s="199"/>
    </row>
    <row r="26" spans="1:8" s="195" customFormat="1" ht="15" customHeight="1" x14ac:dyDescent="0.25">
      <c r="A26" s="212" t="s">
        <v>29</v>
      </c>
      <c r="B26" s="213"/>
      <c r="C26" s="214">
        <f>C8+C15</f>
        <v>119055</v>
      </c>
      <c r="D26" s="214">
        <f>D8+D15+D25</f>
        <v>116018</v>
      </c>
      <c r="E26" s="194"/>
      <c r="F26" s="199"/>
    </row>
    <row r="27" spans="1:8" ht="15" customHeight="1" x14ac:dyDescent="0.25">
      <c r="A27" s="453"/>
      <c r="B27" s="215"/>
      <c r="C27" s="454"/>
      <c r="D27" s="454"/>
      <c r="E27" s="216"/>
      <c r="F27" s="217"/>
    </row>
    <row r="28" spans="1:8" x14ac:dyDescent="0.25">
      <c r="A28" s="453"/>
      <c r="B28" s="215"/>
      <c r="C28" s="454"/>
      <c r="D28" s="454"/>
      <c r="E28" s="217"/>
      <c r="F28" s="217"/>
    </row>
    <row r="29" spans="1:8" ht="36" customHeight="1" x14ac:dyDescent="0.25">
      <c r="A29" s="446" t="s">
        <v>197</v>
      </c>
      <c r="B29" s="446"/>
      <c r="C29" s="446"/>
      <c r="D29" s="446"/>
      <c r="E29" s="217"/>
      <c r="F29" s="217"/>
    </row>
    <row r="30" spans="1:8" x14ac:dyDescent="0.25">
      <c r="A30" s="447" t="s">
        <v>31</v>
      </c>
      <c r="B30" s="449" t="s">
        <v>5</v>
      </c>
      <c r="C30" s="451" t="s">
        <v>6</v>
      </c>
      <c r="D30" s="451"/>
      <c r="E30" s="217"/>
      <c r="F30" s="217"/>
    </row>
    <row r="31" spans="1:8" ht="30" x14ac:dyDescent="0.25">
      <c r="A31" s="448"/>
      <c r="B31" s="450"/>
      <c r="C31" s="187" t="str">
        <f>C6</f>
        <v>Stan na 31/12/2023</v>
      </c>
      <c r="D31" s="187" t="str">
        <f>D6</f>
        <v>Stan na 31/12/2022</v>
      </c>
      <c r="E31" s="217"/>
      <c r="F31" s="217"/>
    </row>
    <row r="32" spans="1:8" s="195" customFormat="1" x14ac:dyDescent="0.25">
      <c r="A32" s="218" t="s">
        <v>32</v>
      </c>
      <c r="B32" s="219"/>
      <c r="C32" s="203">
        <f>SUM(C33:C36)</f>
        <v>48180</v>
      </c>
      <c r="D32" s="203">
        <f>SUM(D33:D36)</f>
        <v>75163</v>
      </c>
      <c r="E32" s="199"/>
      <c r="F32" s="199"/>
      <c r="H32" s="220"/>
    </row>
    <row r="33" spans="1:8" s="195" customFormat="1" x14ac:dyDescent="0.25">
      <c r="A33" s="221" t="s">
        <v>34</v>
      </c>
      <c r="B33" s="222">
        <v>24</v>
      </c>
      <c r="C33" s="223">
        <v>3707</v>
      </c>
      <c r="D33" s="198">
        <v>3707</v>
      </c>
      <c r="E33" s="199"/>
      <c r="F33" s="199"/>
    </row>
    <row r="34" spans="1:8" s="195" customFormat="1" x14ac:dyDescent="0.25">
      <c r="A34" s="221" t="s">
        <v>36</v>
      </c>
      <c r="B34" s="222"/>
      <c r="C34" s="223">
        <v>1253</v>
      </c>
      <c r="D34" s="198">
        <v>737</v>
      </c>
      <c r="E34" s="199"/>
      <c r="F34" s="199"/>
    </row>
    <row r="35" spans="1:8" s="195" customFormat="1" x14ac:dyDescent="0.25">
      <c r="A35" s="221" t="s">
        <v>35</v>
      </c>
      <c r="B35" s="222">
        <v>24</v>
      </c>
      <c r="C35" s="223">
        <v>38412</v>
      </c>
      <c r="D35" s="198">
        <v>38412</v>
      </c>
      <c r="E35" s="199"/>
      <c r="F35" s="199"/>
    </row>
    <row r="36" spans="1:8" s="195" customFormat="1" x14ac:dyDescent="0.25">
      <c r="A36" s="221" t="s">
        <v>37</v>
      </c>
      <c r="B36" s="222">
        <v>25</v>
      </c>
      <c r="C36" s="198">
        <v>4808</v>
      </c>
      <c r="D36" s="198">
        <v>32307</v>
      </c>
      <c r="E36" s="199"/>
      <c r="F36" s="199"/>
    </row>
    <row r="37" spans="1:8" s="195" customFormat="1" x14ac:dyDescent="0.25">
      <c r="A37" s="218" t="s">
        <v>40</v>
      </c>
      <c r="B37" s="219"/>
      <c r="C37" s="203">
        <f>C38+C43</f>
        <v>70875</v>
      </c>
      <c r="D37" s="193">
        <f>D38+D43+D52</f>
        <v>40855</v>
      </c>
      <c r="E37" s="224"/>
      <c r="F37" s="199"/>
    </row>
    <row r="38" spans="1:8" s="195" customFormat="1" x14ac:dyDescent="0.25">
      <c r="A38" s="225" t="s">
        <v>41</v>
      </c>
      <c r="B38" s="226"/>
      <c r="C38" s="227">
        <f>SUM(C39:C42)</f>
        <v>34247</v>
      </c>
      <c r="D38" s="227">
        <f>SUM(D39:D42)</f>
        <v>16625</v>
      </c>
      <c r="E38" s="199"/>
      <c r="F38" s="199"/>
    </row>
    <row r="39" spans="1:8" s="195" customFormat="1" x14ac:dyDescent="0.25">
      <c r="A39" s="221" t="s">
        <v>42</v>
      </c>
      <c r="B39" s="228" t="s">
        <v>198</v>
      </c>
      <c r="C39" s="198">
        <v>33450</v>
      </c>
      <c r="D39" s="198">
        <v>16013</v>
      </c>
      <c r="E39" s="199"/>
      <c r="F39" s="199"/>
    </row>
    <row r="40" spans="1:8" s="195" customFormat="1" x14ac:dyDescent="0.25">
      <c r="A40" s="221" t="s">
        <v>48</v>
      </c>
      <c r="B40" s="222">
        <v>28</v>
      </c>
      <c r="C40" s="198">
        <v>119</v>
      </c>
      <c r="D40" s="198">
        <v>124</v>
      </c>
      <c r="E40" s="229"/>
      <c r="F40" s="199"/>
      <c r="H40" s="200"/>
    </row>
    <row r="41" spans="1:8" s="195" customFormat="1" hidden="1" x14ac:dyDescent="0.25">
      <c r="A41" s="221" t="s">
        <v>199</v>
      </c>
      <c r="B41" s="222"/>
      <c r="C41" s="201"/>
      <c r="D41" s="230"/>
      <c r="E41" s="194"/>
      <c r="F41" s="199"/>
    </row>
    <row r="42" spans="1:8" s="195" customFormat="1" x14ac:dyDescent="0.25">
      <c r="A42" s="221" t="s">
        <v>49</v>
      </c>
      <c r="B42" s="222">
        <v>10</v>
      </c>
      <c r="C42" s="198">
        <v>678</v>
      </c>
      <c r="D42" s="198">
        <v>488</v>
      </c>
      <c r="E42" s="199"/>
      <c r="F42" s="199"/>
    </row>
    <row r="43" spans="1:8" s="195" customFormat="1" x14ac:dyDescent="0.25">
      <c r="A43" s="231" t="s">
        <v>50</v>
      </c>
      <c r="B43" s="232"/>
      <c r="C43" s="193">
        <f>SUM(C44:C51)</f>
        <v>36628</v>
      </c>
      <c r="D43" s="193">
        <f>SUM(D44:D51)</f>
        <v>24230</v>
      </c>
      <c r="E43" s="199"/>
      <c r="F43" s="199"/>
    </row>
    <row r="44" spans="1:8" s="195" customFormat="1" ht="17.45" customHeight="1" x14ac:dyDescent="0.25">
      <c r="A44" s="221" t="s">
        <v>51</v>
      </c>
      <c r="B44" s="222">
        <v>30</v>
      </c>
      <c r="C44" s="198">
        <v>9563</v>
      </c>
      <c r="D44" s="198">
        <v>10557</v>
      </c>
      <c r="E44" s="194"/>
      <c r="F44" s="199"/>
    </row>
    <row r="45" spans="1:8" s="195" customFormat="1" x14ac:dyDescent="0.25">
      <c r="A45" s="221" t="s">
        <v>54</v>
      </c>
      <c r="B45" s="222">
        <v>26</v>
      </c>
      <c r="C45" s="198">
        <v>15801</v>
      </c>
      <c r="D45" s="198">
        <v>52</v>
      </c>
      <c r="E45" s="194"/>
      <c r="F45" s="199"/>
    </row>
    <row r="46" spans="1:8" s="195" customFormat="1" x14ac:dyDescent="0.25">
      <c r="A46" s="221" t="s">
        <v>55</v>
      </c>
      <c r="B46" s="222">
        <v>27</v>
      </c>
      <c r="C46" s="198">
        <v>5180</v>
      </c>
      <c r="D46" s="198">
        <v>6668</v>
      </c>
      <c r="E46" s="194"/>
      <c r="F46" s="199"/>
    </row>
    <row r="47" spans="1:8" s="195" customFormat="1" x14ac:dyDescent="0.25">
      <c r="A47" s="221" t="s">
        <v>56</v>
      </c>
      <c r="B47" s="222">
        <v>10</v>
      </c>
      <c r="C47" s="198">
        <v>4</v>
      </c>
      <c r="D47" s="201">
        <v>3</v>
      </c>
      <c r="E47" s="194"/>
      <c r="F47" s="199"/>
      <c r="G47" s="194"/>
      <c r="H47" s="200"/>
    </row>
    <row r="48" spans="1:8" s="195" customFormat="1" x14ac:dyDescent="0.25">
      <c r="A48" s="221" t="s">
        <v>57</v>
      </c>
      <c r="B48" s="222">
        <v>10</v>
      </c>
      <c r="C48" s="198">
        <v>1406</v>
      </c>
      <c r="D48" s="198">
        <v>1781</v>
      </c>
      <c r="E48" s="194"/>
      <c r="F48" s="199"/>
    </row>
    <row r="49" spans="1:6" s="195" customFormat="1" ht="16.5" customHeight="1" x14ac:dyDescent="0.25">
      <c r="A49" s="221" t="s">
        <v>58</v>
      </c>
      <c r="B49" s="222">
        <v>28</v>
      </c>
      <c r="C49" s="198">
        <v>1122</v>
      </c>
      <c r="D49" s="198">
        <v>1352</v>
      </c>
      <c r="E49" s="194"/>
      <c r="F49" s="199"/>
    </row>
    <row r="50" spans="1:6" s="195" customFormat="1" ht="16.5" customHeight="1" x14ac:dyDescent="0.25">
      <c r="A50" s="221" t="s">
        <v>60</v>
      </c>
      <c r="B50" s="222">
        <v>32</v>
      </c>
      <c r="C50" s="198">
        <v>152</v>
      </c>
      <c r="D50" s="198">
        <v>322</v>
      </c>
      <c r="E50" s="194"/>
      <c r="F50" s="199"/>
    </row>
    <row r="51" spans="1:6" s="195" customFormat="1" ht="16.5" customHeight="1" x14ac:dyDescent="0.25">
      <c r="A51" s="233" t="s">
        <v>61</v>
      </c>
      <c r="B51" s="222">
        <v>29</v>
      </c>
      <c r="C51" s="234">
        <v>3400</v>
      </c>
      <c r="D51" s="227">
        <v>3495</v>
      </c>
      <c r="E51" s="194"/>
      <c r="F51" s="199"/>
    </row>
    <row r="52" spans="1:6" s="195" customFormat="1" ht="27" hidden="1" x14ac:dyDescent="0.25">
      <c r="A52" s="235" t="s">
        <v>200</v>
      </c>
      <c r="B52" s="219">
        <v>12</v>
      </c>
      <c r="C52" s="201"/>
      <c r="D52" s="198"/>
      <c r="E52" s="194"/>
      <c r="F52" s="199"/>
    </row>
    <row r="53" spans="1:6" s="195" customFormat="1" x14ac:dyDescent="0.25">
      <c r="A53" s="212" t="s">
        <v>63</v>
      </c>
      <c r="B53" s="213"/>
      <c r="C53" s="236">
        <f>C32+C37</f>
        <v>119055</v>
      </c>
      <c r="D53" s="214">
        <f>D32+D37</f>
        <v>116018</v>
      </c>
      <c r="E53" s="194"/>
      <c r="F53" s="199"/>
    </row>
    <row r="54" spans="1:6" x14ac:dyDescent="0.25">
      <c r="E54" s="216"/>
    </row>
    <row r="55" spans="1:6" x14ac:dyDescent="0.25">
      <c r="E55" s="216"/>
    </row>
    <row r="56" spans="1:6" x14ac:dyDescent="0.25">
      <c r="B56" s="238"/>
      <c r="C56" s="238"/>
      <c r="D56" s="238"/>
    </row>
  </sheetData>
  <mergeCells count="17">
    <mergeCell ref="A1:D1"/>
    <mergeCell ref="A2:D2"/>
    <mergeCell ref="A3:D3"/>
    <mergeCell ref="A4:D4"/>
    <mergeCell ref="A5:A6"/>
    <mergeCell ref="B5:B6"/>
    <mergeCell ref="C5:D5"/>
    <mergeCell ref="A29:D29"/>
    <mergeCell ref="A30:A31"/>
    <mergeCell ref="B30:B31"/>
    <mergeCell ref="C30:D30"/>
    <mergeCell ref="E17:H17"/>
    <mergeCell ref="E18:H18"/>
    <mergeCell ref="E19:H19"/>
    <mergeCell ref="A27:A28"/>
    <mergeCell ref="C27:C28"/>
    <mergeCell ref="D27:D28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&amp;L&amp;"Montserrat,Regular"&amp;7Roczne jednostkowe sprawozdanie finansowe Ailleron SA za okres od 1 stycznia 2023 r. do 31 grudnia 2023 r. 
(wszystkie kwoty podano w tys.PLN, o ile nie wskazano inaczej)</oddHeader>
    <oddFooter>&amp;C&amp;P</oddFooter>
  </headerFooter>
  <rowBreaks count="1" manualBreakCount="1">
    <brk id="28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C19A1-79B4-47E3-B742-C3B00A8E7F4B}">
  <sheetPr>
    <pageSetUpPr fitToPage="1"/>
  </sheetPr>
  <dimension ref="A1:L65"/>
  <sheetViews>
    <sheetView showGridLines="0" view="pageBreakPreview" topLeftCell="A50" zoomScale="120" zoomScaleNormal="100" zoomScaleSheetLayoutView="120" workbookViewId="0">
      <selection activeCell="G96" sqref="G96"/>
    </sheetView>
  </sheetViews>
  <sheetFormatPr defaultColWidth="8.85546875" defaultRowHeight="15" x14ac:dyDescent="0.25"/>
  <cols>
    <col min="1" max="1" width="57" style="186" customWidth="1"/>
    <col min="2" max="2" width="10.5703125" style="186" customWidth="1"/>
    <col min="3" max="4" width="13.42578125" style="186" customWidth="1"/>
    <col min="5" max="16384" width="8.85546875" style="186"/>
  </cols>
  <sheetData>
    <row r="1" spans="1:11" ht="36" customHeight="1" x14ac:dyDescent="0.25">
      <c r="A1" s="458" t="s">
        <v>201</v>
      </c>
      <c r="B1" s="458"/>
      <c r="C1" s="458"/>
      <c r="D1" s="458"/>
    </row>
    <row r="2" spans="1:11" ht="17.25" customHeight="1" x14ac:dyDescent="0.25">
      <c r="A2" s="460" t="s">
        <v>202</v>
      </c>
      <c r="B2" s="465" t="s">
        <v>5</v>
      </c>
      <c r="C2" s="467" t="s">
        <v>66</v>
      </c>
      <c r="D2" s="467"/>
    </row>
    <row r="3" spans="1:11" ht="39.75" customHeight="1" x14ac:dyDescent="0.25">
      <c r="A3" s="464"/>
      <c r="B3" s="466"/>
      <c r="C3" s="239" t="s">
        <v>203</v>
      </c>
      <c r="D3" s="240" t="s">
        <v>204</v>
      </c>
    </row>
    <row r="4" spans="1:11" x14ac:dyDescent="0.25">
      <c r="A4" s="241" t="s">
        <v>69</v>
      </c>
      <c r="B4" s="242"/>
      <c r="C4" s="243"/>
      <c r="D4" s="244"/>
    </row>
    <row r="5" spans="1:11" s="195" customFormat="1" x14ac:dyDescent="0.25">
      <c r="A5" s="245" t="s">
        <v>70</v>
      </c>
      <c r="B5" s="246" t="s">
        <v>71</v>
      </c>
      <c r="C5" s="247">
        <f>C6+C7</f>
        <v>73975</v>
      </c>
      <c r="D5" s="247">
        <v>67895</v>
      </c>
    </row>
    <row r="6" spans="1:11" s="250" customFormat="1" hidden="1" x14ac:dyDescent="0.25">
      <c r="A6" s="248" t="s">
        <v>72</v>
      </c>
      <c r="B6" s="248"/>
      <c r="C6" s="249">
        <v>73963</v>
      </c>
      <c r="D6" s="249"/>
      <c r="E6" s="250" t="s">
        <v>73</v>
      </c>
    </row>
    <row r="7" spans="1:11" s="250" customFormat="1" hidden="1" x14ac:dyDescent="0.25">
      <c r="A7" s="248" t="s">
        <v>74</v>
      </c>
      <c r="B7" s="248"/>
      <c r="C7" s="249">
        <v>12</v>
      </c>
      <c r="D7" s="249"/>
    </row>
    <row r="8" spans="1:11" s="195" customFormat="1" x14ac:dyDescent="0.25">
      <c r="A8" s="251" t="s">
        <v>75</v>
      </c>
      <c r="B8" s="252"/>
      <c r="C8" s="253">
        <f>C9</f>
        <v>54703</v>
      </c>
      <c r="D8" s="254">
        <v>47306</v>
      </c>
      <c r="F8" s="199"/>
      <c r="K8" s="255"/>
    </row>
    <row r="9" spans="1:11" s="250" customFormat="1" hidden="1" x14ac:dyDescent="0.25">
      <c r="A9" s="248" t="s">
        <v>76</v>
      </c>
      <c r="B9" s="248"/>
      <c r="C9" s="249">
        <v>54703</v>
      </c>
      <c r="D9" s="249"/>
      <c r="E9" s="250" t="s">
        <v>73</v>
      </c>
    </row>
    <row r="10" spans="1:11" s="250" customFormat="1" hidden="1" x14ac:dyDescent="0.25">
      <c r="A10" s="248" t="s">
        <v>77</v>
      </c>
      <c r="B10" s="248"/>
      <c r="C10" s="249"/>
      <c r="D10" s="249"/>
      <c r="F10" s="256"/>
    </row>
    <row r="11" spans="1:11" s="195" customFormat="1" x14ac:dyDescent="0.25">
      <c r="A11" s="257" t="s">
        <v>78</v>
      </c>
      <c r="B11" s="258"/>
      <c r="C11" s="259">
        <f>C5-C8</f>
        <v>19272</v>
      </c>
      <c r="D11" s="259">
        <f>D5-D8</f>
        <v>20589</v>
      </c>
    </row>
    <row r="12" spans="1:11" s="195" customFormat="1" x14ac:dyDescent="0.25">
      <c r="A12" s="260" t="s">
        <v>79</v>
      </c>
      <c r="B12" s="261"/>
      <c r="C12" s="262">
        <v>10843</v>
      </c>
      <c r="D12" s="262">
        <v>11001</v>
      </c>
      <c r="F12" s="263"/>
      <c r="J12" s="199"/>
    </row>
    <row r="13" spans="1:11" s="195" customFormat="1" x14ac:dyDescent="0.25">
      <c r="A13" s="260" t="s">
        <v>80</v>
      </c>
      <c r="B13" s="260"/>
      <c r="C13" s="262">
        <v>15418</v>
      </c>
      <c r="D13" s="262">
        <v>12793</v>
      </c>
      <c r="F13" s="264"/>
      <c r="J13" s="199"/>
    </row>
    <row r="14" spans="1:11" s="195" customFormat="1" x14ac:dyDescent="0.25">
      <c r="A14" s="260" t="s">
        <v>81</v>
      </c>
      <c r="B14" s="265">
        <v>9</v>
      </c>
      <c r="C14" s="262">
        <v>583</v>
      </c>
      <c r="D14" s="262">
        <v>815</v>
      </c>
    </row>
    <row r="15" spans="1:11" s="195" customFormat="1" x14ac:dyDescent="0.25">
      <c r="A15" s="260" t="s">
        <v>82</v>
      </c>
      <c r="B15" s="265">
        <v>9</v>
      </c>
      <c r="C15" s="262">
        <v>5599</v>
      </c>
      <c r="D15" s="262">
        <v>2436</v>
      </c>
    </row>
    <row r="16" spans="1:11" s="195" customFormat="1" x14ac:dyDescent="0.25">
      <c r="A16" s="257" t="s">
        <v>83</v>
      </c>
      <c r="B16" s="266"/>
      <c r="C16" s="259">
        <f>C11-C12-C13+C14-C15</f>
        <v>-12005</v>
      </c>
      <c r="D16" s="259">
        <f>D11-D12-D13+D14-D15</f>
        <v>-4826</v>
      </c>
      <c r="H16" s="267"/>
      <c r="I16" s="267"/>
      <c r="J16" s="267"/>
      <c r="K16" s="267"/>
    </row>
    <row r="17" spans="1:12" s="195" customFormat="1" x14ac:dyDescent="0.25">
      <c r="A17" s="260" t="s">
        <v>84</v>
      </c>
      <c r="B17" s="265">
        <v>7</v>
      </c>
      <c r="C17" s="262">
        <v>1144</v>
      </c>
      <c r="D17" s="262">
        <v>1060</v>
      </c>
      <c r="E17" s="199"/>
      <c r="H17" s="267"/>
      <c r="I17" s="468"/>
      <c r="J17" s="468"/>
      <c r="K17" s="267"/>
      <c r="L17" s="199"/>
    </row>
    <row r="18" spans="1:12" s="195" customFormat="1" x14ac:dyDescent="0.25">
      <c r="A18" s="260" t="s">
        <v>85</v>
      </c>
      <c r="B18" s="265">
        <v>8</v>
      </c>
      <c r="C18" s="262">
        <v>4009</v>
      </c>
      <c r="D18" s="268">
        <v>1266</v>
      </c>
      <c r="H18" s="267"/>
      <c r="I18" s="267"/>
      <c r="J18" s="267"/>
      <c r="K18" s="267"/>
    </row>
    <row r="19" spans="1:12" s="195" customFormat="1" x14ac:dyDescent="0.25">
      <c r="A19" s="251" t="s">
        <v>86</v>
      </c>
      <c r="B19" s="269"/>
      <c r="C19" s="270">
        <f>C16+C17-C18</f>
        <v>-14870</v>
      </c>
      <c r="D19" s="270">
        <f>D16+D17-D18</f>
        <v>-5032</v>
      </c>
      <c r="F19" s="199"/>
      <c r="H19" s="267"/>
      <c r="I19" s="267"/>
      <c r="J19" s="267"/>
      <c r="K19" s="267"/>
    </row>
    <row r="20" spans="1:12" s="195" customFormat="1" x14ac:dyDescent="0.25">
      <c r="A20" s="271"/>
      <c r="B20" s="272"/>
      <c r="C20" s="273"/>
      <c r="D20" s="274"/>
      <c r="G20" s="275"/>
      <c r="H20" s="263"/>
      <c r="I20" s="267"/>
      <c r="J20" s="267"/>
      <c r="K20" s="267"/>
    </row>
    <row r="21" spans="1:12" s="195" customFormat="1" x14ac:dyDescent="0.25">
      <c r="A21" s="251" t="s">
        <v>87</v>
      </c>
      <c r="B21" s="276">
        <v>10</v>
      </c>
      <c r="C21" s="254">
        <f>C22+C23</f>
        <v>273</v>
      </c>
      <c r="D21" s="254">
        <v>-54</v>
      </c>
      <c r="H21" s="267"/>
      <c r="I21" s="267"/>
      <c r="J21" s="267"/>
      <c r="K21" s="267"/>
    </row>
    <row r="22" spans="1:12" s="250" customFormat="1" hidden="1" x14ac:dyDescent="0.25">
      <c r="A22" s="248" t="s">
        <v>88</v>
      </c>
      <c r="B22" s="248"/>
      <c r="C22" s="249">
        <f>26+57</f>
        <v>83</v>
      </c>
      <c r="D22" s="249"/>
      <c r="E22" s="250" t="s">
        <v>73</v>
      </c>
      <c r="H22" s="277"/>
      <c r="I22" s="277"/>
      <c r="J22" s="277"/>
      <c r="K22" s="277"/>
    </row>
    <row r="23" spans="1:12" s="250" customFormat="1" hidden="1" x14ac:dyDescent="0.25">
      <c r="A23" s="248" t="s">
        <v>89</v>
      </c>
      <c r="B23" s="248"/>
      <c r="C23" s="249">
        <v>190</v>
      </c>
      <c r="D23" s="249"/>
      <c r="H23" s="277"/>
      <c r="I23" s="277"/>
      <c r="J23" s="277"/>
      <c r="K23" s="277"/>
    </row>
    <row r="24" spans="1:12" s="195" customFormat="1" x14ac:dyDescent="0.25">
      <c r="A24" s="271" t="s">
        <v>90</v>
      </c>
      <c r="B24" s="272"/>
      <c r="C24" s="270">
        <f>C19-C21</f>
        <v>-15143</v>
      </c>
      <c r="D24" s="259">
        <f>D19-D21</f>
        <v>-4978</v>
      </c>
      <c r="H24" s="267"/>
      <c r="I24" s="267"/>
      <c r="J24" s="267"/>
      <c r="K24" s="267"/>
    </row>
    <row r="25" spans="1:12" s="195" customFormat="1" x14ac:dyDescent="0.25">
      <c r="A25" s="278" t="s">
        <v>91</v>
      </c>
      <c r="B25" s="279">
        <v>11</v>
      </c>
      <c r="C25" s="280"/>
      <c r="D25" s="270"/>
      <c r="H25" s="267"/>
      <c r="I25" s="267"/>
      <c r="J25" s="267"/>
      <c r="K25" s="267"/>
    </row>
    <row r="26" spans="1:12" s="195" customFormat="1" x14ac:dyDescent="0.25">
      <c r="A26" s="281" t="s">
        <v>92</v>
      </c>
      <c r="B26" s="279"/>
      <c r="C26" s="282">
        <v>0</v>
      </c>
      <c r="D26" s="283">
        <v>3359</v>
      </c>
      <c r="F26" s="263"/>
      <c r="H26" s="267"/>
      <c r="I26" s="267"/>
      <c r="J26" s="267"/>
      <c r="K26" s="267"/>
    </row>
    <row r="27" spans="1:12" s="195" customFormat="1" x14ac:dyDescent="0.25">
      <c r="A27" s="281" t="s">
        <v>93</v>
      </c>
      <c r="B27" s="279"/>
      <c r="C27" s="284">
        <v>0</v>
      </c>
      <c r="D27" s="283">
        <v>5759</v>
      </c>
      <c r="F27" s="263"/>
      <c r="H27" s="267"/>
      <c r="I27" s="267"/>
      <c r="J27" s="267"/>
      <c r="K27" s="267"/>
    </row>
    <row r="28" spans="1:12" s="195" customFormat="1" x14ac:dyDescent="0.25">
      <c r="A28" s="281" t="s">
        <v>94</v>
      </c>
      <c r="B28" s="279"/>
      <c r="C28" s="285">
        <f>C26-C27</f>
        <v>0</v>
      </c>
      <c r="D28" s="286">
        <f>D26-D27</f>
        <v>-2400</v>
      </c>
      <c r="F28" s="263"/>
    </row>
    <row r="29" spans="1:12" s="195" customFormat="1" x14ac:dyDescent="0.25">
      <c r="A29" s="287" t="s">
        <v>87</v>
      </c>
      <c r="B29" s="279"/>
      <c r="C29" s="288">
        <f>C28*0.19</f>
        <v>0</v>
      </c>
      <c r="D29" s="289">
        <v>-456</v>
      </c>
      <c r="F29" s="263"/>
    </row>
    <row r="30" spans="1:12" s="195" customFormat="1" x14ac:dyDescent="0.25">
      <c r="A30" s="260" t="s">
        <v>95</v>
      </c>
      <c r="B30" s="279">
        <v>11</v>
      </c>
      <c r="C30" s="290">
        <f>C28-C29</f>
        <v>0</v>
      </c>
      <c r="D30" s="291">
        <f>D28-D29</f>
        <v>-1944</v>
      </c>
      <c r="F30" s="263"/>
    </row>
    <row r="31" spans="1:12" s="195" customFormat="1" x14ac:dyDescent="0.25">
      <c r="A31" s="292" t="s">
        <v>205</v>
      </c>
      <c r="B31" s="212"/>
      <c r="C31" s="293">
        <f>C24+C30</f>
        <v>-15143</v>
      </c>
      <c r="D31" s="294">
        <f>D24+D30</f>
        <v>-6922</v>
      </c>
      <c r="F31" s="263"/>
      <c r="H31" s="199"/>
    </row>
    <row r="32" spans="1:12" x14ac:dyDescent="0.25">
      <c r="A32" s="295"/>
      <c r="B32" s="296"/>
      <c r="C32" s="297"/>
      <c r="D32" s="298"/>
    </row>
    <row r="33" spans="1:4" x14ac:dyDescent="0.25">
      <c r="A33" s="299"/>
      <c r="B33" s="299"/>
      <c r="C33" s="300"/>
      <c r="D33" s="300"/>
    </row>
    <row r="34" spans="1:4" s="195" customFormat="1" ht="36" customHeight="1" x14ac:dyDescent="0.25">
      <c r="A34" s="469" t="s">
        <v>206</v>
      </c>
      <c r="B34" s="469"/>
      <c r="C34" s="469"/>
      <c r="D34" s="469"/>
    </row>
    <row r="35" spans="1:4" x14ac:dyDescent="0.25">
      <c r="A35" s="460" t="s">
        <v>202</v>
      </c>
      <c r="B35" s="449" t="s">
        <v>5</v>
      </c>
      <c r="C35" s="462" t="s">
        <v>6</v>
      </c>
      <c r="D35" s="462"/>
    </row>
    <row r="36" spans="1:4" ht="40.5" x14ac:dyDescent="0.25">
      <c r="A36" s="461"/>
      <c r="B36" s="450"/>
      <c r="C36" s="301" t="str">
        <f>C3</f>
        <v>Okres zakończony 31/12/2023</v>
      </c>
      <c r="D36" s="302" t="str">
        <f>D3</f>
        <v>Okres zakończony 31/12/2022</v>
      </c>
    </row>
    <row r="37" spans="1:4" s="195" customFormat="1" x14ac:dyDescent="0.25">
      <c r="A37" s="303" t="s">
        <v>207</v>
      </c>
      <c r="B37" s="252"/>
      <c r="C37" s="304">
        <f>C31</f>
        <v>-15143</v>
      </c>
      <c r="D37" s="305">
        <f>D31</f>
        <v>-6922</v>
      </c>
    </row>
    <row r="38" spans="1:4" s="195" customFormat="1" x14ac:dyDescent="0.25">
      <c r="A38" s="260" t="s">
        <v>208</v>
      </c>
      <c r="B38" s="260"/>
      <c r="C38" s="306">
        <f>C31</f>
        <v>-15143</v>
      </c>
      <c r="D38" s="307">
        <f>D31</f>
        <v>-6922</v>
      </c>
    </row>
    <row r="39" spans="1:4" s="195" customFormat="1" x14ac:dyDescent="0.25">
      <c r="A39" s="260" t="s">
        <v>101</v>
      </c>
      <c r="B39" s="265">
        <v>14</v>
      </c>
      <c r="C39" s="463"/>
      <c r="D39" s="463"/>
    </row>
    <row r="40" spans="1:4" s="195" customFormat="1" x14ac:dyDescent="0.25">
      <c r="A40" s="260" t="s">
        <v>102</v>
      </c>
      <c r="B40" s="260"/>
      <c r="C40" s="463"/>
      <c r="D40" s="463"/>
    </row>
    <row r="41" spans="1:4" s="195" customFormat="1" x14ac:dyDescent="0.25">
      <c r="A41" s="260" t="s">
        <v>103</v>
      </c>
      <c r="B41" s="260"/>
      <c r="C41" s="300"/>
      <c r="D41" s="300"/>
    </row>
    <row r="42" spans="1:4" s="195" customFormat="1" x14ac:dyDescent="0.25">
      <c r="A42" s="260" t="s">
        <v>104</v>
      </c>
      <c r="B42" s="260"/>
      <c r="C42" s="308">
        <f>C24/12355504*1000</f>
        <v>-1.2256076320318459</v>
      </c>
      <c r="D42" s="308">
        <f>D24/12355504*1000</f>
        <v>-0.40289736460770842</v>
      </c>
    </row>
    <row r="43" spans="1:4" s="195" customFormat="1" x14ac:dyDescent="0.25">
      <c r="A43" s="260" t="s">
        <v>105</v>
      </c>
      <c r="B43" s="260"/>
      <c r="C43" s="309">
        <f>C42</f>
        <v>-1.2256076320318459</v>
      </c>
      <c r="D43" s="309">
        <f>D42</f>
        <v>-0.40289736460770842</v>
      </c>
    </row>
    <row r="44" spans="1:4" s="195" customFormat="1" x14ac:dyDescent="0.25">
      <c r="A44" s="260" t="s">
        <v>209</v>
      </c>
      <c r="B44" s="260"/>
      <c r="C44" s="310"/>
      <c r="D44" s="310"/>
    </row>
    <row r="45" spans="1:4" s="195" customFormat="1" x14ac:dyDescent="0.25">
      <c r="A45" s="260" t="s">
        <v>104</v>
      </c>
      <c r="B45" s="260"/>
      <c r="C45" s="309">
        <f>C37/12355504*1000</f>
        <v>-1.2256076320318459</v>
      </c>
      <c r="D45" s="309">
        <f>D37/12355504*1000</f>
        <v>-0.56023615062566445</v>
      </c>
    </row>
    <row r="46" spans="1:4" s="195" customFormat="1" ht="17.25" customHeight="1" x14ac:dyDescent="0.25">
      <c r="A46" s="303" t="s">
        <v>105</v>
      </c>
      <c r="B46" s="303"/>
      <c r="C46" s="311">
        <f>C45</f>
        <v>-1.2256076320318459</v>
      </c>
      <c r="D46" s="311">
        <f>D45</f>
        <v>-0.56023615062566445</v>
      </c>
    </row>
    <row r="49" spans="1:2" x14ac:dyDescent="0.25">
      <c r="A49" s="312"/>
      <c r="B49" s="313"/>
    </row>
    <row r="59" spans="1:2" ht="16.5" x14ac:dyDescent="0.35">
      <c r="A59" s="314"/>
      <c r="B59" s="314"/>
    </row>
    <row r="63" spans="1:2" ht="16.5" x14ac:dyDescent="0.35">
      <c r="A63" s="315"/>
      <c r="B63" s="314"/>
    </row>
    <row r="65" spans="1:2" ht="16.5" x14ac:dyDescent="0.35">
      <c r="A65" s="314"/>
      <c r="B65" s="314"/>
    </row>
  </sheetData>
  <mergeCells count="11">
    <mergeCell ref="A34:D34"/>
    <mergeCell ref="A1:D1"/>
    <mergeCell ref="A2:A3"/>
    <mergeCell ref="B2:B3"/>
    <mergeCell ref="C2:D2"/>
    <mergeCell ref="I17:J17"/>
    <mergeCell ref="A35:A36"/>
    <mergeCell ref="B35:B36"/>
    <mergeCell ref="C35:D35"/>
    <mergeCell ref="C39:C40"/>
    <mergeCell ref="D39:D40"/>
  </mergeCells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headerFooter>
    <oddHeader>&amp;L&amp;"Montserrat,Regular"&amp;7Roczne jednostkowe sprawozdanie finansowe Ailleron SA za okres od 1 stycznia 2023 r. do 31 grudnia 2023 r. 
(wszystkie kwoty podano w tys.PLN, o ile nie wskazano inaczej)</oddHeader>
    <oddFooter>&amp;C&amp;P</oddFooter>
  </headerFooter>
  <rowBreaks count="1" manualBreakCount="1">
    <brk id="33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E4E4B-D404-42C5-BA67-D6AA1710BF74}">
  <sheetPr>
    <pageSetUpPr fitToPage="1"/>
  </sheetPr>
  <dimension ref="A1:I21"/>
  <sheetViews>
    <sheetView showGridLines="0" view="pageBreakPreview" zoomScaleNormal="100" zoomScaleSheetLayoutView="100" workbookViewId="0">
      <selection activeCell="G96" sqref="G96"/>
    </sheetView>
  </sheetViews>
  <sheetFormatPr defaultColWidth="9.140625" defaultRowHeight="15" x14ac:dyDescent="0.25"/>
  <cols>
    <col min="1" max="1" width="50.85546875" style="186" customWidth="1"/>
    <col min="2" max="2" width="7.85546875" style="186" customWidth="1"/>
    <col min="3" max="4" width="15.85546875" style="186" customWidth="1"/>
    <col min="5" max="16384" width="9.140625" style="186"/>
  </cols>
  <sheetData>
    <row r="1" spans="1:9" s="185" customFormat="1" ht="36" customHeight="1" x14ac:dyDescent="0.2">
      <c r="A1" s="470" t="s">
        <v>210</v>
      </c>
      <c r="B1" s="470"/>
      <c r="C1" s="470"/>
      <c r="D1" s="470"/>
    </row>
    <row r="2" spans="1:9" ht="17.25" customHeight="1" x14ac:dyDescent="0.25">
      <c r="A2" s="464" t="s">
        <v>211</v>
      </c>
      <c r="B2" s="472"/>
      <c r="C2" s="462" t="s">
        <v>6</v>
      </c>
      <c r="D2" s="474"/>
    </row>
    <row r="3" spans="1:9" ht="42.75" customHeight="1" x14ac:dyDescent="0.25">
      <c r="A3" s="471"/>
      <c r="B3" s="473"/>
      <c r="C3" s="316" t="s">
        <v>67</v>
      </c>
      <c r="D3" s="317" t="s">
        <v>68</v>
      </c>
    </row>
    <row r="4" spans="1:9" ht="14.45" customHeight="1" x14ac:dyDescent="0.25">
      <c r="A4" s="292" t="s">
        <v>96</v>
      </c>
      <c r="B4" s="318"/>
      <c r="C4" s="319">
        <f>RZIS_j!C37*1000</f>
        <v>-15143000</v>
      </c>
      <c r="D4" s="320">
        <f>RZIS_j!D37*1000</f>
        <v>-6922000</v>
      </c>
    </row>
    <row r="5" spans="1:9" ht="14.45" customHeight="1" x14ac:dyDescent="0.25">
      <c r="A5" s="252" t="s">
        <v>109</v>
      </c>
      <c r="B5" s="260"/>
      <c r="C5" s="321">
        <v>0</v>
      </c>
      <c r="D5" s="322">
        <v>0</v>
      </c>
      <c r="H5" s="323"/>
      <c r="I5" s="323"/>
    </row>
    <row r="6" spans="1:9" ht="14.45" hidden="1" customHeight="1" x14ac:dyDescent="0.25">
      <c r="A6" s="271" t="s">
        <v>38</v>
      </c>
      <c r="B6" s="271"/>
      <c r="C6" s="324">
        <v>0</v>
      </c>
      <c r="D6" s="325">
        <v>0</v>
      </c>
    </row>
    <row r="7" spans="1:9" x14ac:dyDescent="0.25">
      <c r="A7" s="326" t="s">
        <v>110</v>
      </c>
      <c r="B7" s="327"/>
      <c r="C7" s="328">
        <f>C6</f>
        <v>0</v>
      </c>
      <c r="D7" s="328">
        <f>D6</f>
        <v>0</v>
      </c>
    </row>
    <row r="8" spans="1:9" ht="17.45" customHeight="1" x14ac:dyDescent="0.25">
      <c r="A8" s="292" t="s">
        <v>111</v>
      </c>
      <c r="B8" s="329"/>
      <c r="C8" s="330">
        <f>C4+C7</f>
        <v>-15143000</v>
      </c>
      <c r="D8" s="331">
        <f>D4+D7</f>
        <v>-6922000</v>
      </c>
    </row>
    <row r="9" spans="1:9" x14ac:dyDescent="0.25">
      <c r="A9" s="332"/>
      <c r="B9" s="333"/>
      <c r="C9" s="332"/>
      <c r="D9" s="332"/>
    </row>
    <row r="15" spans="1:9" ht="16.5" x14ac:dyDescent="0.35">
      <c r="A15" s="314"/>
      <c r="B15" s="314"/>
    </row>
    <row r="19" spans="1:2" ht="16.5" x14ac:dyDescent="0.35">
      <c r="A19" s="315"/>
      <c r="B19" s="314"/>
    </row>
    <row r="21" spans="1:2" ht="16.5" x14ac:dyDescent="0.35">
      <c r="A21" s="315"/>
      <c r="B21" s="314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&amp;L&amp;"Montserrat,Regular"&amp;7Roczne jednostkowe sprawozdanie finansowe Ailleron SA za okres od 1 stycznia 2023 r. do 31 grudnia 2023 r. 
(wszystkie kwoty podano w tys.PLN,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E95F-0845-432E-B2D6-C7A8EAAB6E9C}">
  <sheetPr>
    <pageSetUpPr fitToPage="1"/>
  </sheetPr>
  <dimension ref="A1:F66"/>
  <sheetViews>
    <sheetView showGridLines="0" view="pageBreakPreview" topLeftCell="A53" zoomScaleNormal="100" zoomScaleSheetLayoutView="100" workbookViewId="0">
      <selection activeCell="D23" sqref="D1:E1048576"/>
    </sheetView>
  </sheetViews>
  <sheetFormatPr defaultColWidth="8.85546875" defaultRowHeight="15" x14ac:dyDescent="0.25"/>
  <cols>
    <col min="1" max="1" width="50.85546875" style="369" customWidth="1"/>
    <col min="2" max="2" width="14.42578125" style="186" customWidth="1"/>
    <col min="3" max="3" width="14.42578125" style="186" bestFit="1" customWidth="1"/>
    <col min="4" max="16384" width="8.85546875" style="186"/>
  </cols>
  <sheetData>
    <row r="1" spans="1:3" ht="54.95" customHeight="1" x14ac:dyDescent="0.25">
      <c r="A1" s="475" t="s">
        <v>212</v>
      </c>
      <c r="B1" s="475"/>
      <c r="C1" s="475"/>
    </row>
    <row r="2" spans="1:3" ht="18" customHeight="1" x14ac:dyDescent="0.25">
      <c r="A2" s="476"/>
      <c r="B2" s="478" t="s">
        <v>6</v>
      </c>
      <c r="C2" s="478"/>
    </row>
    <row r="3" spans="1:3" ht="41.25" customHeight="1" x14ac:dyDescent="0.25">
      <c r="A3" s="477"/>
      <c r="B3" s="239" t="s">
        <v>203</v>
      </c>
      <c r="C3" s="334" t="s">
        <v>204</v>
      </c>
    </row>
    <row r="4" spans="1:3" x14ac:dyDescent="0.25">
      <c r="A4" s="335" t="s">
        <v>115</v>
      </c>
      <c r="B4" s="336"/>
      <c r="C4" s="337"/>
    </row>
    <row r="5" spans="1:3" s="195" customFormat="1" x14ac:dyDescent="0.25">
      <c r="A5" s="338" t="s">
        <v>116</v>
      </c>
      <c r="B5" s="339">
        <f>RZIS_j!C31</f>
        <v>-15143</v>
      </c>
      <c r="C5" s="339">
        <f>RZIS_j!D31</f>
        <v>-6922</v>
      </c>
    </row>
    <row r="6" spans="1:3" s="195" customFormat="1" x14ac:dyDescent="0.25">
      <c r="A6" s="340" t="s">
        <v>117</v>
      </c>
      <c r="B6" s="339">
        <f>SUM(B7:B26)</f>
        <v>10590</v>
      </c>
      <c r="C6" s="339">
        <f>SUM(C7:C26)</f>
        <v>12212</v>
      </c>
    </row>
    <row r="7" spans="1:3" s="195" customFormat="1" x14ac:dyDescent="0.25">
      <c r="A7" s="341" t="s">
        <v>118</v>
      </c>
      <c r="B7" s="307">
        <f>RZIS_j!C21+RZIS_j!C29</f>
        <v>273</v>
      </c>
      <c r="C7" s="307">
        <f>RZIS_j!D21+RZIS_j!D29</f>
        <v>-510</v>
      </c>
    </row>
    <row r="8" spans="1:3" s="195" customFormat="1" x14ac:dyDescent="0.25">
      <c r="A8" s="342" t="s">
        <v>119</v>
      </c>
      <c r="B8" s="343">
        <v>1975</v>
      </c>
      <c r="C8" s="343">
        <v>678</v>
      </c>
    </row>
    <row r="9" spans="1:3" s="195" customFormat="1" x14ac:dyDescent="0.25">
      <c r="A9" s="342" t="s">
        <v>120</v>
      </c>
      <c r="B9" s="343">
        <v>-752</v>
      </c>
      <c r="C9" s="262">
        <v>-355</v>
      </c>
    </row>
    <row r="10" spans="1:3" s="195" customFormat="1" ht="24.6" customHeight="1" x14ac:dyDescent="0.25">
      <c r="A10" s="342" t="s">
        <v>121</v>
      </c>
      <c r="B10" s="262">
        <v>718</v>
      </c>
      <c r="C10" s="262">
        <v>1638</v>
      </c>
    </row>
    <row r="11" spans="1:3" s="195" customFormat="1" ht="24.6" customHeight="1" x14ac:dyDescent="0.25">
      <c r="A11" s="342" t="s">
        <v>122</v>
      </c>
      <c r="B11" s="262">
        <v>2001</v>
      </c>
      <c r="C11" s="262">
        <v>517</v>
      </c>
    </row>
    <row r="12" spans="1:3" s="195" customFormat="1" ht="29.1" customHeight="1" x14ac:dyDescent="0.25">
      <c r="A12" s="342" t="s">
        <v>123</v>
      </c>
      <c r="B12" s="262">
        <f>6158-916</f>
        <v>5242</v>
      </c>
      <c r="C12" s="262">
        <v>-190</v>
      </c>
    </row>
    <row r="13" spans="1:3" s="195" customFormat="1" x14ac:dyDescent="0.25">
      <c r="A13" s="342" t="s">
        <v>124</v>
      </c>
      <c r="B13" s="262">
        <v>6224</v>
      </c>
      <c r="C13" s="262">
        <v>5847</v>
      </c>
    </row>
    <row r="14" spans="1:3" s="195" customFormat="1" x14ac:dyDescent="0.25">
      <c r="A14" s="342" t="s">
        <v>125</v>
      </c>
      <c r="B14" s="262">
        <v>-1281</v>
      </c>
      <c r="C14" s="262">
        <v>538</v>
      </c>
    </row>
    <row r="15" spans="1:3" s="195" customFormat="1" hidden="1" x14ac:dyDescent="0.25">
      <c r="A15" s="344"/>
      <c r="B15" s="262"/>
      <c r="C15" s="262"/>
    </row>
    <row r="16" spans="1:3" s="195" customFormat="1" x14ac:dyDescent="0.25">
      <c r="A16" s="342" t="s">
        <v>213</v>
      </c>
      <c r="B16" s="262"/>
      <c r="C16" s="262"/>
    </row>
    <row r="17" spans="1:3" s="195" customFormat="1" ht="25.5" x14ac:dyDescent="0.25">
      <c r="A17" s="342" t="s">
        <v>128</v>
      </c>
      <c r="B17" s="262">
        <v>-5896</v>
      </c>
      <c r="C17" s="262">
        <v>1614</v>
      </c>
    </row>
    <row r="18" spans="1:3" s="195" customFormat="1" hidden="1" x14ac:dyDescent="0.25">
      <c r="A18" s="342" t="s">
        <v>214</v>
      </c>
      <c r="B18" s="262">
        <v>0</v>
      </c>
      <c r="C18" s="262">
        <v>0</v>
      </c>
    </row>
    <row r="19" spans="1:3" s="195" customFormat="1" x14ac:dyDescent="0.25">
      <c r="A19" s="342" t="s">
        <v>129</v>
      </c>
      <c r="B19" s="262">
        <v>52</v>
      </c>
      <c r="C19" s="262">
        <v>170</v>
      </c>
    </row>
    <row r="20" spans="1:3" s="195" customFormat="1" x14ac:dyDescent="0.25">
      <c r="A20" s="342" t="s">
        <v>130</v>
      </c>
      <c r="B20" s="262">
        <v>3446</v>
      </c>
      <c r="C20" s="262">
        <v>-423</v>
      </c>
    </row>
    <row r="21" spans="1:3" s="195" customFormat="1" ht="25.5" x14ac:dyDescent="0.25">
      <c r="A21" s="342" t="s">
        <v>131</v>
      </c>
      <c r="B21" s="262">
        <v>-1369</v>
      </c>
      <c r="C21" s="262">
        <v>2016</v>
      </c>
    </row>
    <row r="22" spans="1:3" s="195" customFormat="1" hidden="1" x14ac:dyDescent="0.25">
      <c r="A22" s="342" t="s">
        <v>215</v>
      </c>
      <c r="B22" s="262">
        <f>-907+907</f>
        <v>0</v>
      </c>
      <c r="C22" s="262">
        <v>0</v>
      </c>
    </row>
    <row r="23" spans="1:3" s="195" customFormat="1" x14ac:dyDescent="0.25">
      <c r="A23" s="342" t="s">
        <v>132</v>
      </c>
      <c r="B23" s="262">
        <v>-235</v>
      </c>
      <c r="C23" s="262">
        <v>134</v>
      </c>
    </row>
    <row r="24" spans="1:3" s="195" customFormat="1" x14ac:dyDescent="0.25">
      <c r="A24" s="342" t="s">
        <v>133</v>
      </c>
      <c r="B24" s="262">
        <v>-170</v>
      </c>
      <c r="C24" s="262">
        <v>-322</v>
      </c>
    </row>
    <row r="25" spans="1:3" s="195" customFormat="1" x14ac:dyDescent="0.25">
      <c r="A25" s="342" t="s">
        <v>134</v>
      </c>
      <c r="B25" s="262">
        <v>-154</v>
      </c>
      <c r="C25" s="345">
        <v>379</v>
      </c>
    </row>
    <row r="26" spans="1:3" s="195" customFormat="1" x14ac:dyDescent="0.25">
      <c r="A26" s="346" t="s">
        <v>216</v>
      </c>
      <c r="B26" s="347">
        <v>516</v>
      </c>
      <c r="C26" s="347">
        <v>481</v>
      </c>
    </row>
    <row r="27" spans="1:3" s="195" customFormat="1" x14ac:dyDescent="0.25">
      <c r="A27" s="348" t="s">
        <v>135</v>
      </c>
      <c r="B27" s="247">
        <f>B5+B6</f>
        <v>-4553</v>
      </c>
      <c r="C27" s="305">
        <f>C5+C6</f>
        <v>5290</v>
      </c>
    </row>
    <row r="28" spans="1:3" s="195" customFormat="1" x14ac:dyDescent="0.25">
      <c r="A28" s="341" t="s">
        <v>217</v>
      </c>
      <c r="B28" s="349">
        <v>-1565</v>
      </c>
      <c r="C28" s="349">
        <v>-824</v>
      </c>
    </row>
    <row r="29" spans="1:3" s="195" customFormat="1" x14ac:dyDescent="0.25">
      <c r="A29" s="342" t="s">
        <v>137</v>
      </c>
      <c r="B29" s="262">
        <v>-24</v>
      </c>
      <c r="C29" s="262">
        <v>731</v>
      </c>
    </row>
    <row r="30" spans="1:3" s="195" customFormat="1" x14ac:dyDescent="0.25">
      <c r="A30" s="350" t="s">
        <v>138</v>
      </c>
      <c r="B30" s="351">
        <f>SUM(B27:B29)</f>
        <v>-6142</v>
      </c>
      <c r="C30" s="259">
        <f>SUM(C27:C29)</f>
        <v>5197</v>
      </c>
    </row>
    <row r="31" spans="1:3" ht="54.95" customHeight="1" x14ac:dyDescent="0.25">
      <c r="A31" s="475" t="s">
        <v>218</v>
      </c>
      <c r="B31" s="475"/>
      <c r="C31" s="475"/>
    </row>
    <row r="32" spans="1:3" x14ac:dyDescent="0.25">
      <c r="A32" s="476"/>
      <c r="B32" s="479" t="s">
        <v>66</v>
      </c>
      <c r="C32" s="480"/>
    </row>
    <row r="33" spans="1:3" ht="45.75" customHeight="1" x14ac:dyDescent="0.25">
      <c r="A33" s="477"/>
      <c r="B33" s="317" t="str">
        <f>B3</f>
        <v>Okres zakończony 31/12/2023</v>
      </c>
      <c r="C33" s="301" t="str">
        <f>C3</f>
        <v>Okres zakończony 31/12/2022</v>
      </c>
    </row>
    <row r="34" spans="1:3" x14ac:dyDescent="0.25">
      <c r="A34" s="335"/>
      <c r="B34" s="352"/>
      <c r="C34" s="353"/>
    </row>
    <row r="35" spans="1:3" x14ac:dyDescent="0.25">
      <c r="A35" s="354" t="s">
        <v>140</v>
      </c>
      <c r="B35" s="355"/>
      <c r="C35" s="355"/>
    </row>
    <row r="36" spans="1:3" s="195" customFormat="1" hidden="1" x14ac:dyDescent="0.25">
      <c r="A36" s="342" t="s">
        <v>219</v>
      </c>
      <c r="B36" s="356"/>
      <c r="C36" s="356"/>
    </row>
    <row r="37" spans="1:3" s="195" customFormat="1" x14ac:dyDescent="0.25">
      <c r="A37" s="342" t="s">
        <v>220</v>
      </c>
      <c r="B37" s="356">
        <v>2151</v>
      </c>
      <c r="C37" s="356">
        <v>2803</v>
      </c>
    </row>
    <row r="38" spans="1:3" s="195" customFormat="1" x14ac:dyDescent="0.25">
      <c r="A38" s="342" t="s">
        <v>221</v>
      </c>
      <c r="B38" s="356">
        <v>752</v>
      </c>
      <c r="C38" s="356">
        <v>355</v>
      </c>
    </row>
    <row r="39" spans="1:3" s="195" customFormat="1" x14ac:dyDescent="0.25">
      <c r="A39" s="342" t="s">
        <v>146</v>
      </c>
      <c r="B39" s="262">
        <f>270-268</f>
        <v>2</v>
      </c>
      <c r="C39" s="262">
        <v>-825</v>
      </c>
    </row>
    <row r="40" spans="1:3" s="195" customFormat="1" x14ac:dyDescent="0.25">
      <c r="A40" s="342" t="s">
        <v>222</v>
      </c>
      <c r="B40" s="356">
        <v>0</v>
      </c>
      <c r="C40" s="356">
        <v>10</v>
      </c>
    </row>
    <row r="41" spans="1:3" s="195" customFormat="1" hidden="1" x14ac:dyDescent="0.25">
      <c r="A41" s="342" t="s">
        <v>149</v>
      </c>
      <c r="B41" s="356"/>
      <c r="C41" s="356"/>
    </row>
    <row r="42" spans="1:3" s="195" customFormat="1" x14ac:dyDescent="0.25">
      <c r="A42" s="342" t="s">
        <v>150</v>
      </c>
      <c r="B42" s="286">
        <v>-791</v>
      </c>
      <c r="C42" s="286">
        <v>-459</v>
      </c>
    </row>
    <row r="43" spans="1:3" s="195" customFormat="1" x14ac:dyDescent="0.25">
      <c r="A43" s="342" t="s">
        <v>223</v>
      </c>
      <c r="B43" s="286">
        <v>-9080</v>
      </c>
      <c r="C43" s="286">
        <v>-15722</v>
      </c>
    </row>
    <row r="44" spans="1:3" s="195" customFormat="1" hidden="1" x14ac:dyDescent="0.25">
      <c r="A44" s="342" t="s">
        <v>224</v>
      </c>
      <c r="B44" s="356"/>
      <c r="C44" s="268"/>
    </row>
    <row r="45" spans="1:3" s="195" customFormat="1" ht="25.5" customHeight="1" x14ac:dyDescent="0.25">
      <c r="A45" s="342" t="s">
        <v>151</v>
      </c>
      <c r="B45" s="268">
        <v>475</v>
      </c>
      <c r="C45" s="268">
        <v>106</v>
      </c>
    </row>
    <row r="46" spans="1:3" s="195" customFormat="1" hidden="1" x14ac:dyDescent="0.25">
      <c r="A46" s="342" t="s">
        <v>225</v>
      </c>
      <c r="B46" s="356"/>
      <c r="C46" s="356"/>
    </row>
    <row r="47" spans="1:3" s="195" customFormat="1" ht="26.25" customHeight="1" x14ac:dyDescent="0.25">
      <c r="A47" s="357" t="s">
        <v>226</v>
      </c>
      <c r="B47" s="305">
        <f>SUM(B36:B46)</f>
        <v>-6491</v>
      </c>
      <c r="C47" s="259">
        <f>SUM(C36:C46)</f>
        <v>-13732</v>
      </c>
    </row>
    <row r="48" spans="1:3" s="195" customFormat="1" x14ac:dyDescent="0.25">
      <c r="A48" s="335" t="s">
        <v>156</v>
      </c>
      <c r="B48" s="358"/>
      <c r="C48" s="359"/>
    </row>
    <row r="49" spans="1:6" s="195" customFormat="1" x14ac:dyDescent="0.25">
      <c r="A49" s="341" t="s">
        <v>148</v>
      </c>
      <c r="B49" s="349">
        <v>-12356</v>
      </c>
      <c r="C49" s="349">
        <v>-3954</v>
      </c>
    </row>
    <row r="50" spans="1:6" s="195" customFormat="1" x14ac:dyDescent="0.25">
      <c r="A50" s="342" t="s">
        <v>227</v>
      </c>
      <c r="B50" s="262"/>
      <c r="C50" s="262">
        <v>-4</v>
      </c>
    </row>
    <row r="51" spans="1:6" s="195" customFormat="1" x14ac:dyDescent="0.25">
      <c r="A51" s="342" t="s">
        <v>159</v>
      </c>
      <c r="B51" s="347">
        <v>-341</v>
      </c>
      <c r="C51" s="262"/>
    </row>
    <row r="52" spans="1:6" s="195" customFormat="1" ht="21.75" customHeight="1" x14ac:dyDescent="0.25">
      <c r="A52" s="342" t="s">
        <v>228</v>
      </c>
      <c r="B52" s="347">
        <v>0</v>
      </c>
      <c r="C52" s="356">
        <v>0</v>
      </c>
    </row>
    <row r="53" spans="1:6" s="195" customFormat="1" x14ac:dyDescent="0.25">
      <c r="A53" s="342" t="s">
        <v>229</v>
      </c>
      <c r="B53" s="347">
        <v>15680</v>
      </c>
      <c r="C53" s="347">
        <v>0</v>
      </c>
    </row>
    <row r="54" spans="1:6" s="195" customFormat="1" ht="24" customHeight="1" x14ac:dyDescent="0.25">
      <c r="A54" s="360" t="s">
        <v>163</v>
      </c>
      <c r="B54" s="268">
        <v>-5049</v>
      </c>
      <c r="C54" s="268">
        <v>-5171</v>
      </c>
    </row>
    <row r="55" spans="1:6" s="195" customFormat="1" ht="26.25" customHeight="1" x14ac:dyDescent="0.25">
      <c r="A55" s="361" t="s">
        <v>164</v>
      </c>
      <c r="B55" s="305">
        <f>SUM(B49:B54)</f>
        <v>-2066</v>
      </c>
      <c r="C55" s="305">
        <f>SUM(C49:C54)</f>
        <v>-9129</v>
      </c>
    </row>
    <row r="56" spans="1:6" s="195" customFormat="1" x14ac:dyDescent="0.25">
      <c r="A56" s="340" t="s">
        <v>165</v>
      </c>
      <c r="B56" s="307">
        <f>B30+B55+B47</f>
        <v>-14699</v>
      </c>
      <c r="C56" s="307">
        <f>C30+C55+C47</f>
        <v>-17664</v>
      </c>
    </row>
    <row r="57" spans="1:6" s="195" customFormat="1" ht="28.5" customHeight="1" x14ac:dyDescent="0.25">
      <c r="A57" s="362" t="s">
        <v>166</v>
      </c>
      <c r="B57" s="262">
        <f>C59</f>
        <v>16891</v>
      </c>
      <c r="C57" s="268">
        <v>34555</v>
      </c>
    </row>
    <row r="58" spans="1:6" s="195" customFormat="1" hidden="1" x14ac:dyDescent="0.25">
      <c r="A58" s="362" t="s">
        <v>230</v>
      </c>
      <c r="B58" s="363"/>
      <c r="C58" s="364"/>
    </row>
    <row r="59" spans="1:6" s="195" customFormat="1" ht="33" customHeight="1" x14ac:dyDescent="0.25">
      <c r="A59" s="365" t="s">
        <v>168</v>
      </c>
      <c r="B59" s="366">
        <f>B56+B57+B58</f>
        <v>2192</v>
      </c>
      <c r="C59" s="367">
        <f>C56+C57</f>
        <v>16891</v>
      </c>
      <c r="D59" s="199"/>
      <c r="E59" s="199"/>
      <c r="F59" s="199"/>
    </row>
    <row r="60" spans="1:6" x14ac:dyDescent="0.25">
      <c r="A60" s="368"/>
      <c r="B60" s="332"/>
      <c r="C60" s="332"/>
      <c r="D60" s="217"/>
    </row>
    <row r="63" spans="1:6" ht="23.25" customHeight="1" x14ac:dyDescent="0.25"/>
    <row r="64" spans="1:6" ht="23.25" customHeight="1" x14ac:dyDescent="0.25"/>
    <row r="65" spans="1:1" ht="12" customHeight="1" x14ac:dyDescent="0.25"/>
    <row r="66" spans="1:1" ht="30.75" customHeight="1" x14ac:dyDescent="0.3">
      <c r="A66" s="370"/>
    </row>
  </sheetData>
  <mergeCells count="6">
    <mergeCell ref="A1:C1"/>
    <mergeCell ref="A2:A3"/>
    <mergeCell ref="B2:C2"/>
    <mergeCell ref="A31:C31"/>
    <mergeCell ref="A32:A33"/>
    <mergeCell ref="B32:C32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&amp;L&amp;"Montserrat,Regular"&amp;7Roczne jednostkowe sprawozdanie finansowe Ailleron SA za okres od 1 stycznia 2023 r. do 31 grudnia 2023 r. 
(wszystkie kwoty podano w tys.PLN, o ile nie wskazano inaczej)</oddHeader>
    <oddFooter>&amp;C&amp;P</oddFooter>
  </headerFooter>
  <rowBreaks count="1" manualBreakCount="1">
    <brk id="30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FC69A-A5F4-42EA-B73F-93E4D02A9779}">
  <sheetPr>
    <pageSetUpPr fitToPage="1"/>
  </sheetPr>
  <dimension ref="A1:K27"/>
  <sheetViews>
    <sheetView showGridLines="0" view="pageBreakPreview" topLeftCell="A8" zoomScaleNormal="100" zoomScaleSheetLayoutView="100" workbookViewId="0">
      <selection activeCell="J25" sqref="J25"/>
    </sheetView>
  </sheetViews>
  <sheetFormatPr defaultColWidth="9.140625" defaultRowHeight="15" x14ac:dyDescent="0.25"/>
  <cols>
    <col min="1" max="1" width="43.42578125" style="186" bestFit="1" customWidth="1"/>
    <col min="2" max="2" width="11.42578125" style="186" customWidth="1"/>
    <col min="3" max="6" width="10.42578125" style="186" customWidth="1"/>
    <col min="7" max="16384" width="9.140625" style="186"/>
  </cols>
  <sheetData>
    <row r="1" spans="1:7" s="185" customFormat="1" ht="38.25" customHeight="1" x14ac:dyDescent="0.2">
      <c r="A1" s="446" t="s">
        <v>231</v>
      </c>
      <c r="B1" s="446"/>
      <c r="C1" s="446"/>
      <c r="D1" s="446"/>
      <c r="E1" s="446"/>
      <c r="F1" s="446"/>
    </row>
    <row r="2" spans="1:7" s="372" customFormat="1" ht="19.5" customHeight="1" x14ac:dyDescent="0.2">
      <c r="A2" s="371"/>
      <c r="B2" s="481" t="s">
        <v>6</v>
      </c>
      <c r="C2" s="480"/>
      <c r="D2" s="480"/>
      <c r="E2" s="480"/>
      <c r="F2" s="479"/>
    </row>
    <row r="3" spans="1:7" s="372" customFormat="1" ht="57.6" customHeight="1" x14ac:dyDescent="0.25">
      <c r="A3" s="373"/>
      <c r="B3" s="374" t="s">
        <v>170</v>
      </c>
      <c r="C3" s="375" t="s">
        <v>36</v>
      </c>
      <c r="D3" s="375" t="s">
        <v>35</v>
      </c>
      <c r="E3" s="376" t="s">
        <v>37</v>
      </c>
      <c r="F3" s="374" t="s">
        <v>174</v>
      </c>
    </row>
    <row r="4" spans="1:7" s="195" customFormat="1" ht="14.1" customHeight="1" x14ac:dyDescent="0.25">
      <c r="A4" s="377" t="s">
        <v>232</v>
      </c>
      <c r="B4" s="378">
        <v>3707</v>
      </c>
      <c r="C4" s="379">
        <v>257</v>
      </c>
      <c r="D4" s="379">
        <v>38412</v>
      </c>
      <c r="E4" s="379">
        <v>43182</v>
      </c>
      <c r="F4" s="380">
        <f>SUM(B4:E4)</f>
        <v>85558</v>
      </c>
    </row>
    <row r="5" spans="1:7" s="195" customFormat="1" ht="14.1" customHeight="1" x14ac:dyDescent="0.25">
      <c r="A5" s="381" t="s">
        <v>176</v>
      </c>
      <c r="B5" s="382">
        <v>0</v>
      </c>
      <c r="C5" s="382">
        <v>0</v>
      </c>
      <c r="D5" s="382">
        <v>0</v>
      </c>
      <c r="E5" s="382">
        <f>RZIS_j!D31</f>
        <v>-6922</v>
      </c>
      <c r="F5" s="383">
        <f t="shared" ref="F5:F7" si="0">SUM(B5:E5)</f>
        <v>-6922</v>
      </c>
    </row>
    <row r="6" spans="1:7" s="195" customFormat="1" ht="14.1" customHeight="1" x14ac:dyDescent="0.25">
      <c r="A6" s="384" t="s">
        <v>177</v>
      </c>
      <c r="B6" s="385">
        <v>0</v>
      </c>
      <c r="C6" s="382">
        <v>0</v>
      </c>
      <c r="D6" s="385">
        <v>0</v>
      </c>
      <c r="E6" s="385" t="s">
        <v>233</v>
      </c>
      <c r="F6" s="386">
        <f t="shared" si="0"/>
        <v>0</v>
      </c>
    </row>
    <row r="7" spans="1:7" s="195" customFormat="1" ht="14.1" customHeight="1" x14ac:dyDescent="0.25">
      <c r="A7" s="377" t="s">
        <v>178</v>
      </c>
      <c r="B7" s="387">
        <f>SUM(B5:B6)</f>
        <v>0</v>
      </c>
      <c r="C7" s="387">
        <f t="shared" ref="C7:E7" si="1">SUM(C5:C6)</f>
        <v>0</v>
      </c>
      <c r="D7" s="387">
        <f t="shared" si="1"/>
        <v>0</v>
      </c>
      <c r="E7" s="388">
        <f t="shared" si="1"/>
        <v>-6922</v>
      </c>
      <c r="F7" s="380">
        <f t="shared" si="0"/>
        <v>-6922</v>
      </c>
    </row>
    <row r="8" spans="1:7" s="195" customFormat="1" ht="14.1" customHeight="1" x14ac:dyDescent="0.25">
      <c r="A8" s="389" t="s">
        <v>181</v>
      </c>
      <c r="B8" s="380">
        <v>0</v>
      </c>
      <c r="C8" s="387">
        <v>480</v>
      </c>
      <c r="D8" s="387">
        <v>0</v>
      </c>
      <c r="E8" s="390">
        <v>0</v>
      </c>
      <c r="F8" s="380">
        <f>SUM(B8:E8)</f>
        <v>480</v>
      </c>
    </row>
    <row r="9" spans="1:7" s="195" customFormat="1" ht="14.1" customHeight="1" x14ac:dyDescent="0.25">
      <c r="A9" s="391" t="s">
        <v>182</v>
      </c>
      <c r="B9" s="386">
        <v>0</v>
      </c>
      <c r="C9" s="385">
        <v>0</v>
      </c>
      <c r="D9" s="385">
        <v>0</v>
      </c>
      <c r="E9" s="392">
        <v>-3953</v>
      </c>
      <c r="F9" s="393">
        <f>SUM(B9:E9)</f>
        <v>-3953</v>
      </c>
    </row>
    <row r="10" spans="1:7" s="195" customFormat="1" ht="14.1" customHeight="1" x14ac:dyDescent="0.25">
      <c r="A10" s="394" t="s">
        <v>183</v>
      </c>
      <c r="B10" s="386">
        <f>B7+B8+B9</f>
        <v>0</v>
      </c>
      <c r="C10" s="395">
        <f t="shared" ref="C10:E10" si="2">C7+C8+C9</f>
        <v>480</v>
      </c>
      <c r="D10" s="379">
        <f t="shared" si="2"/>
        <v>0</v>
      </c>
      <c r="E10" s="385">
        <f t="shared" si="2"/>
        <v>-10875</v>
      </c>
      <c r="F10" s="396">
        <f>SUM(B10:E10)</f>
        <v>-10395</v>
      </c>
    </row>
    <row r="11" spans="1:7" s="195" customFormat="1" ht="20.100000000000001" customHeight="1" x14ac:dyDescent="0.25">
      <c r="A11" s="327" t="s">
        <v>234</v>
      </c>
      <c r="B11" s="397">
        <f>B4+B10</f>
        <v>3707</v>
      </c>
      <c r="C11" s="398">
        <f t="shared" ref="C11:E11" si="3">C4+C10</f>
        <v>737</v>
      </c>
      <c r="D11" s="395">
        <f t="shared" si="3"/>
        <v>38412</v>
      </c>
      <c r="E11" s="399">
        <f t="shared" si="3"/>
        <v>32307</v>
      </c>
      <c r="F11" s="400">
        <f>F4+F10</f>
        <v>75163</v>
      </c>
      <c r="G11" s="199"/>
    </row>
    <row r="12" spans="1:7" s="401" customFormat="1" ht="20.45" customHeight="1" x14ac:dyDescent="0.25">
      <c r="A12" s="482"/>
      <c r="B12" s="482"/>
      <c r="C12" s="482"/>
      <c r="D12" s="482"/>
      <c r="E12" s="482"/>
      <c r="F12" s="482"/>
    </row>
    <row r="13" spans="1:7" s="404" customFormat="1" ht="12" customHeight="1" x14ac:dyDescent="0.25">
      <c r="A13" s="384" t="s">
        <v>235</v>
      </c>
      <c r="B13" s="402">
        <f>B11</f>
        <v>3707</v>
      </c>
      <c r="C13" s="403">
        <f t="shared" ref="C13:E13" si="4">C11</f>
        <v>737</v>
      </c>
      <c r="D13" s="403">
        <f t="shared" si="4"/>
        <v>38412</v>
      </c>
      <c r="E13" s="385">
        <f t="shared" si="4"/>
        <v>32307</v>
      </c>
      <c r="F13" s="386">
        <f t="shared" ref="F13:F19" si="5">SUM(B13:E13)</f>
        <v>75163</v>
      </c>
    </row>
    <row r="14" spans="1:7" s="404" customFormat="1" ht="23.45" customHeight="1" x14ac:dyDescent="0.25">
      <c r="A14" s="281" t="s">
        <v>176</v>
      </c>
      <c r="B14" s="405">
        <v>0</v>
      </c>
      <c r="C14" s="382">
        <v>0</v>
      </c>
      <c r="D14" s="382">
        <v>0</v>
      </c>
      <c r="E14" s="382">
        <f>RZIS_j!C31</f>
        <v>-15143</v>
      </c>
      <c r="F14" s="393">
        <f t="shared" si="5"/>
        <v>-15143</v>
      </c>
      <c r="G14" s="406"/>
    </row>
    <row r="15" spans="1:7" s="195" customFormat="1" ht="15.6" customHeight="1" x14ac:dyDescent="0.25">
      <c r="A15" s="391" t="s">
        <v>177</v>
      </c>
      <c r="B15" s="386">
        <v>0</v>
      </c>
      <c r="C15" s="382">
        <v>0</v>
      </c>
      <c r="D15" s="385">
        <v>0</v>
      </c>
      <c r="E15" s="385">
        <v>0</v>
      </c>
      <c r="F15" s="393">
        <f t="shared" si="5"/>
        <v>0</v>
      </c>
    </row>
    <row r="16" spans="1:7" s="195" customFormat="1" ht="14.1" customHeight="1" x14ac:dyDescent="0.25">
      <c r="A16" s="407" t="s">
        <v>178</v>
      </c>
      <c r="B16" s="378">
        <f>SUM(B14:B15)</f>
        <v>0</v>
      </c>
      <c r="C16" s="403">
        <f t="shared" ref="C16:E16" si="6">SUM(C14:C15)</f>
        <v>0</v>
      </c>
      <c r="D16" s="395">
        <f t="shared" si="6"/>
        <v>0</v>
      </c>
      <c r="E16" s="379">
        <f t="shared" si="6"/>
        <v>-15143</v>
      </c>
      <c r="F16" s="402">
        <f t="shared" si="5"/>
        <v>-15143</v>
      </c>
    </row>
    <row r="17" spans="1:11" s="195" customFormat="1" ht="14.1" customHeight="1" x14ac:dyDescent="0.25">
      <c r="A17" s="381" t="s">
        <v>181</v>
      </c>
      <c r="B17" s="393">
        <v>0</v>
      </c>
      <c r="C17" s="382">
        <v>516</v>
      </c>
      <c r="D17" s="382">
        <v>0</v>
      </c>
      <c r="E17" s="408">
        <v>0</v>
      </c>
      <c r="F17" s="393">
        <f t="shared" si="5"/>
        <v>516</v>
      </c>
    </row>
    <row r="18" spans="1:11" s="195" customFormat="1" ht="14.1" customHeight="1" x14ac:dyDescent="0.25">
      <c r="A18" s="391" t="s">
        <v>182</v>
      </c>
      <c r="B18" s="393">
        <v>0</v>
      </c>
      <c r="C18" s="382">
        <v>0</v>
      </c>
      <c r="D18" s="409">
        <v>0</v>
      </c>
      <c r="E18" s="382">
        <v>-12356</v>
      </c>
      <c r="F18" s="393">
        <f t="shared" si="5"/>
        <v>-12356</v>
      </c>
    </row>
    <row r="19" spans="1:11" s="195" customFormat="1" ht="14.1" customHeight="1" x14ac:dyDescent="0.25">
      <c r="A19" s="407" t="s">
        <v>183</v>
      </c>
      <c r="B19" s="402">
        <f>SUM(B16:B18)</f>
        <v>0</v>
      </c>
      <c r="C19" s="398">
        <f t="shared" ref="C19:E19" si="7">SUM(C16:C18)</f>
        <v>516</v>
      </c>
      <c r="D19" s="410">
        <f t="shared" si="7"/>
        <v>0</v>
      </c>
      <c r="E19" s="411">
        <f t="shared" si="7"/>
        <v>-27499</v>
      </c>
      <c r="F19" s="400">
        <f t="shared" si="5"/>
        <v>-26983</v>
      </c>
    </row>
    <row r="20" spans="1:11" s="195" customFormat="1" ht="14.1" customHeight="1" x14ac:dyDescent="0.25">
      <c r="A20" s="412" t="s">
        <v>188</v>
      </c>
      <c r="B20" s="413">
        <f>B13+B19</f>
        <v>3707</v>
      </c>
      <c r="C20" s="398">
        <f t="shared" ref="C20:F20" si="8">C13+C19</f>
        <v>1253</v>
      </c>
      <c r="D20" s="398">
        <f t="shared" si="8"/>
        <v>38412</v>
      </c>
      <c r="E20" s="414">
        <f t="shared" si="8"/>
        <v>4808</v>
      </c>
      <c r="F20" s="400">
        <f t="shared" si="8"/>
        <v>48180</v>
      </c>
    </row>
    <row r="21" spans="1:11" ht="8.4499999999999993" customHeight="1" x14ac:dyDescent="0.25">
      <c r="A21" s="332"/>
      <c r="B21" s="332"/>
      <c r="E21" s="332"/>
      <c r="F21" s="332"/>
    </row>
    <row r="22" spans="1:11" ht="19.5" customHeight="1" x14ac:dyDescent="0.25">
      <c r="G22" s="217"/>
      <c r="H22" s="217"/>
      <c r="I22" s="217"/>
      <c r="J22" s="217"/>
      <c r="K22" s="217"/>
    </row>
    <row r="23" spans="1:11" ht="15.75" x14ac:dyDescent="0.3">
      <c r="A23" s="370"/>
    </row>
    <row r="24" spans="1:11" ht="30" customHeight="1" x14ac:dyDescent="0.25">
      <c r="G24" s="217"/>
    </row>
    <row r="25" spans="1:11" ht="15" customHeight="1" x14ac:dyDescent="0.3">
      <c r="A25" s="370"/>
    </row>
    <row r="26" spans="1:11" ht="13.5" customHeight="1" x14ac:dyDescent="0.25"/>
    <row r="27" spans="1:11" ht="29.45" customHeight="1" x14ac:dyDescent="0.25"/>
  </sheetData>
  <mergeCells count="3">
    <mergeCell ref="A1:F1"/>
    <mergeCell ref="B2:F2"/>
    <mergeCell ref="A12:F12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&amp;L&amp;"Montserrat,Regular"&amp;7Roczne jednostkowe sprawozdanie finansowe Ailleron SA za okres od 1 stycznia 2023 r. do 31 grudnia 2023 r. 
(wszystkie kwoty podano w tys.PLN, o ile nie wskazano inaczej)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807734f4cc79a109456942427be22e7f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bafc06ace31b79cb2c2a1f3e23899e24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A8575C-7EDD-430E-BC02-5EF13AE206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DF3644-E044-46E7-9563-5DE8DF529F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2024-07-25T10:27:18Z</dcterms:modified>
</cp:coreProperties>
</file>