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2_Y/wspólne_pliki_final_doc_pdf_xhtml/"/>
    </mc:Choice>
  </mc:AlternateContent>
  <xr:revisionPtr revIDLastSave="17" documentId="11_308952497283852477FF6CE069F468815A89B58C" xr6:coauthVersionLast="47" xr6:coauthVersionMax="47" xr10:uidLastSave="{BE5EC46F-AC5A-410C-A6FB-11C8F4F40B98}"/>
  <bookViews>
    <workbookView xWindow="-25320" yWindow="390" windowWidth="25440" windowHeight="15390" activeTab="1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[1]DP!$AK$10:$AK$29,[1]DP!$AK$37:$AK$51</definedName>
    <definedName name="____OK2">[1]DP!$AJ$10:$AJ$29,[1]DP!$AJ$37:$AJ$51</definedName>
    <definedName name="____OK3">[1]DP!$AI$10:$AI$29,[1]DP!$AI$37:$AI$51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[2]DP!$AK$10:$AK$29,[2]DP!$AK$37:$AK$51</definedName>
    <definedName name="___OK2">[2]DP!$AJ$10:$AJ$29,[2]DP!$AJ$37:$AJ$51</definedName>
    <definedName name="___OK3">[2]DP!$AI$10:$AI$29,[2]DP!$AI$37:$AI$51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thinkcell.yD4.px3yUa9TCp8l4vsew" hidden="1">#REF!</definedName>
    <definedName name="__123Graph_A" hidden="1">[3]車会集約!$C$88:$I$88</definedName>
    <definedName name="__123Graph_A所要稼働ｸﾞﾗﾌ" hidden="1">[3]車会集約!$D$88:$I$88</definedName>
    <definedName name="__123Graph_B" hidden="1">[3]車会集約!$C$89:$I$89</definedName>
    <definedName name="__123Graph_B所要稼働ｸﾞﾗﾌ" hidden="1">[3]車会集約!$D$89:$I$89</definedName>
    <definedName name="__123Graph_LBL_A" hidden="1">[3]車会集約!$C$88:$I$88</definedName>
    <definedName name="__123Graph_LBL_B" hidden="1">[3]車会集約!$C$89:$I$89</definedName>
    <definedName name="__123Graph_X" hidden="1">[3]車会集約!$C$87:$I$87</definedName>
    <definedName name="__123Graph_X所要稼働ｸﾞﾗﾌ" hidden="1">[3]車会集約!$D$79:$I$79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[4]DP!$AK$10:$AK$29,[4]DP!$AK$37:$AK$51</definedName>
    <definedName name="__OK2">[4]DP!$AJ$10:$AJ$29,[4]DP!$AJ$37:$AJ$51</definedName>
    <definedName name="__OK3">[4]DP!$AI$10:$AI$29,[4]DP!$AI$37:$AI$51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'[5]style analysis'!#REF!</definedName>
    <definedName name="_10__123Graph_XCHART_6" hidden="1">'[5]style analysis'!#REF!</definedName>
    <definedName name="_2__123Graph_ACHART_19" hidden="1">'[5]style analysis'!#REF!</definedName>
    <definedName name="_3__123Graph_ACHART_42" hidden="1">'[5]style analysis'!#REF!</definedName>
    <definedName name="_4__123Graph_ACHART_52" hidden="1">'[5]style analysis'!#REF!</definedName>
    <definedName name="_5__123Graph_ACHART_6" hidden="1">'[5]style analysis'!#REF!</definedName>
    <definedName name="_6__123Graph_BCHART_42" hidden="1">'[5]style analysis'!#REF!</definedName>
    <definedName name="_7__123Graph_XCHART_11" hidden="1">'[5]style analysis'!#REF!</definedName>
    <definedName name="_8__123Graph_XCHART_19" hidden="1">'[5]style analysis'!#REF!</definedName>
    <definedName name="_9__123Graph_XCHART_42" hidden="1">'[5]style analysis'!#REF!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[4]DP!$AK$10:$AK$29,[4]DP!$AK$37:$AK$51</definedName>
    <definedName name="_OK2">[4]DP!$AJ$10:$AJ$29,[4]DP!$AJ$37:$AJ$51</definedName>
    <definedName name="_OK3">[4]DP!$AI$10:$AI$29,[4]DP!$AI$37:$AI$51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 localSheetId="6">#REF!</definedName>
    <definedName name="_R1_Nieodlaczne" localSheetId="7">#REF!</definedName>
    <definedName name="_R1_Nieodlaczne">#REF!</definedName>
    <definedName name="_R2_Kontrolwewn" localSheetId="6">#REF!</definedName>
    <definedName name="_R2_Kontrolwewn" localSheetId="7">#REF!</definedName>
    <definedName name="_R2_Kontrolwewn">#REF!</definedName>
    <definedName name="_R3_Analityczne" localSheetId="6">#REF!</definedName>
    <definedName name="_R3_Analityczne" localSheetId="7">#REF!</definedName>
    <definedName name="_R3_Analityczne">#REF!</definedName>
    <definedName name="_scr0101">'[6]obroty 0101'!$G$2:$G$1530</definedName>
    <definedName name="_scr0102">'[6]obroty 0102'!$G$2:$G$1640</definedName>
    <definedName name="_scr0103">'[6]obroty 0103'!$G$2:$G$1752</definedName>
    <definedName name="_scr0201">'[6]obroty 0201'!$G$2:$G$1530</definedName>
    <definedName name="_scr0202">'[6]obroty 0202'!$G$2:$G$1641</definedName>
    <definedName name="_scr0203">'[6]obroty 0203'!$G$2:$G$1770</definedName>
    <definedName name="_scr0301">'[6]obroty 0301'!$G$2:$G$1535</definedName>
    <definedName name="_scr0302">'[6]obroty 0302'!$G$2:$G$1650</definedName>
    <definedName name="_scr0303">'[6]obroty 0303'!$G$2:$G$1807</definedName>
    <definedName name="_scr0401">'[6]obroty 0401'!$G$2:$G$1535</definedName>
    <definedName name="_scr0402">'[6]obroty 0402'!$G$2:$G$1660</definedName>
    <definedName name="_scr0403">'[6]obroty 0403'!$G$2:$G$1791</definedName>
    <definedName name="_scr0501">'[6]obroty 0501'!$G$2:$G$1541</definedName>
    <definedName name="_scr0502">'[6]obroty 0502'!$G$2:$G$1652</definedName>
    <definedName name="_scr0503">'[6]obroty 0503'!$G$2:$G$1800</definedName>
    <definedName name="_scr0504">#REF!</definedName>
    <definedName name="_scr0601">'[6]obroty 0601'!$G$2:$G$1544</definedName>
    <definedName name="_scr0602">'[6]obroty 0602'!$G$2:$G$1655</definedName>
    <definedName name="_scr0603">'[6]obroty 0603'!$G$2:$G$1800</definedName>
    <definedName name="_scr0604">#REF!</definedName>
    <definedName name="_scr0605">#REF!</definedName>
    <definedName name="_scr0701">'[6]obroty 0701'!$G$2:$G$1545</definedName>
    <definedName name="_scr0702">'[6]obroty 0702'!$G$2:$G$1680</definedName>
    <definedName name="_scr0703">'[6]obroty 0703'!$G$2:$G$1843</definedName>
    <definedName name="_scr0705">#REF!</definedName>
    <definedName name="_scr0801">'[6]obroty 0801'!$G$2:$G$1546</definedName>
    <definedName name="_scr0802">'[6]obroty 0802'!$G$2:$G$1683</definedName>
    <definedName name="_scr0803">'[6]obroty 0803'!$G$2:$G$1825</definedName>
    <definedName name="_scr0901">'[6]obroty 0901'!$G$2:$G$1546</definedName>
    <definedName name="_scr0902">'[6]obroty 0902'!$G$2:$G$1694</definedName>
    <definedName name="_scr0903">'[6]obroty 0903'!$G$2:$G$1820</definedName>
    <definedName name="_scr1001">'[6]obroty 1001'!$G$2:$G$1551</definedName>
    <definedName name="_scr1002">'[6]obroty 1002'!$G$2:$G$1700</definedName>
    <definedName name="_scr1003">'[6]obroty 1003'!$G$2:$G$1830</definedName>
    <definedName name="_scr1101">'[6]obroty 1101'!$G$2:$G$1561</definedName>
    <definedName name="_scr1102">'[6]obroty 1102'!$G$2:$G$1702</definedName>
    <definedName name="_scr1103">'[6]obroty 1103'!$G$2:$G$1830</definedName>
    <definedName name="_scr1104">#REF!</definedName>
    <definedName name="_scr1105">#REF!</definedName>
    <definedName name="_scr1200">'[6]obroty 1200'!$G$2:$G$1520</definedName>
    <definedName name="_scr1201">'[6]obroty 1201'!$G$2:$G$1605</definedName>
    <definedName name="_scr1202">'[6]obroty 1202'!$G$2:$G$1740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'[6]obroty 0101'!$F$2:$F$1530</definedName>
    <definedName name="_sdt0102">'[6]obroty 0102'!$F$2:$F$1640</definedName>
    <definedName name="_sdt0103">'[6]obroty 0103'!$F$2:$F$1752</definedName>
    <definedName name="_sdt0201">'[6]obroty 0201'!$F$2:$F$1530</definedName>
    <definedName name="_sdt0202">'[6]obroty 0202'!$F$2:$F$1641</definedName>
    <definedName name="_sdt0203">'[6]obroty 0203'!$F$2:$F$1770</definedName>
    <definedName name="_sdt0301">'[6]obroty 0301'!$F$2:$F$1535</definedName>
    <definedName name="_sdt0302">'[6]obroty 0302'!$F$2:$F$1650</definedName>
    <definedName name="_sdt0303">'[6]obroty 0303'!$F$2:$F$1807</definedName>
    <definedName name="_sdt0401">'[6]obroty 0401'!$F$2:$F$1535</definedName>
    <definedName name="_sdt0402">'[6]obroty 0402'!$F$2:$F$1660</definedName>
    <definedName name="_sdt0403">'[6]obroty 0403'!$F$2:$F$1791</definedName>
    <definedName name="_sdt0501">'[6]obroty 0501'!$F$2:$F$1541</definedName>
    <definedName name="_sdt0502">'[6]obroty 0502'!$F$2:$F$1652</definedName>
    <definedName name="_sdt0503">'[6]obroty 0503'!$F$2:$F$1800</definedName>
    <definedName name="_sdt0504">#REF!</definedName>
    <definedName name="_sdt0601">'[6]obroty 0601'!$F$2:$F$1544</definedName>
    <definedName name="_sdt0602">'[6]obroty 0602'!$F$2:$F$1655</definedName>
    <definedName name="_sdt0603">'[6]obroty 0603'!$F$2:$F$1800</definedName>
    <definedName name="_sdt0604">#REF!</definedName>
    <definedName name="_sdt0605">#REF!</definedName>
    <definedName name="_sdt0701">'[6]obroty 0701'!$F$2:$F$1545</definedName>
    <definedName name="_sdt0702">'[6]obroty 0702'!$F$2:$F$1680</definedName>
    <definedName name="_sdt0703">'[6]obroty 0703'!$F$2:$F$1843</definedName>
    <definedName name="_sdt0705">#REF!</definedName>
    <definedName name="_sdt0801">'[6]obroty 0801'!$F$2:$F$1546</definedName>
    <definedName name="_sdt0802">'[6]obroty 0802'!$F$2:$F$1683</definedName>
    <definedName name="_sdt0803">'[6]obroty 0803'!$F$2:$F$1825</definedName>
    <definedName name="_sdt0901">'[6]obroty 0901'!$F$2:$F$1546</definedName>
    <definedName name="_sdt0902">'[6]obroty 0902'!$F$2:$F$1694</definedName>
    <definedName name="_sdt0903">'[6]obroty 0903'!$F$2:$F$1820</definedName>
    <definedName name="_sdt0904">#REF!</definedName>
    <definedName name="_sdt1001">'[6]obroty 1001'!$F$2:$F$1551</definedName>
    <definedName name="_sdt1002">'[6]obroty 1002'!$F$2:$F$1700</definedName>
    <definedName name="_sdt1003">'[6]obroty 1003'!$F$2:$F$1830</definedName>
    <definedName name="_sdt1101">'[6]obroty 1101'!$F$2:$F$1561</definedName>
    <definedName name="_sdt1102">'[6]obroty 1102'!$F$2:$F$1702</definedName>
    <definedName name="_sdt1103">'[6]obroty 1103'!$F$2:$F$1830</definedName>
    <definedName name="_sdt1104">#REF!</definedName>
    <definedName name="_sdt1105">#REF!</definedName>
    <definedName name="_sdt1200">'[6]obroty 1200'!$F$2:$F$1520</definedName>
    <definedName name="_sdt1201">'[6]obroty 1201'!$F$2:$F$1605</definedName>
    <definedName name="_sdt1202">'[6]obroty 1202'!$F$2:$F$1740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 localSheetId="3">[7]SF!$C$201:$D$203,[7]SF!$C$205:$D$207,[7]SF!$C$209:$D$210,[7]SF!$C$213:$D$215,[7]SF!$C$217:$D$219,[7]SF!$C$222:$D$228,[7]SF!$C$230:$D$234,[7]SF!$C$237:$D$238,[7]SF!$C$240:$D$241</definedName>
    <definedName name="aa" localSheetId="1">[7]SF!$C$201:$D$203,[7]SF!$C$205:$D$207,[7]SF!$C$209:$D$210,[7]SF!$C$213:$D$215,[7]SF!$C$217:$D$219,[7]SF!$C$222:$D$228,[7]SF!$C$230:$D$234,[7]SF!$C$237:$D$238,[7]SF!$C$240:$D$241</definedName>
    <definedName name="aa" localSheetId="2">[7]SF!$C$201:$D$203,[7]SF!$C$205:$D$207,[7]SF!$C$209:$D$210,[7]SF!$C$213:$D$215,[7]SF!$C$217:$D$219,[7]SF!$C$222:$D$228,[7]SF!$C$230:$D$234,[7]SF!$C$237:$D$238,[7]SF!$C$240:$D$241</definedName>
    <definedName name="aa" localSheetId="4">[7]SF!$C$201:$D$203,[7]SF!$C$205:$D$207,[7]SF!$C$209:$D$210,[7]SF!$C$213:$D$215,[7]SF!$C$217:$D$219,[7]SF!$C$222:$D$228,[7]SF!$C$230:$D$234,[7]SF!$C$237:$D$238,[7]SF!$C$240:$D$241</definedName>
    <definedName name="aa">[8]SF!$C$201:$D$203,[8]SF!$C$205:$D$207,[8]SF!$C$209:$D$210,[8]SF!$C$213:$D$215,[8]SF!$C$217:$D$219,[8]SF!$C$222:$D$228,[8]SF!$C$230:$D$234,[8]SF!$C$237:$D$238,[8]SF!$C$240:$D$241</definedName>
    <definedName name="aaa" localSheetId="6">#REF!</definedName>
    <definedName name="aaa" localSheetId="7">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'[9]Zielone zakl  - arkusze tech.'!$AX$140</definedName>
    <definedName name="Address">#REF!</definedName>
    <definedName name="adres">[10]WSTĘP!$IU$5</definedName>
    <definedName name="Adres1">'[11]Zielone zakl  - arkusze tech.'!$AX$111</definedName>
    <definedName name="Adres2">'[11]Zielone zakl  - arkusze tech.'!$AX$112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'[9]Zielone zakl  - arkusze tech.'!$AX$139</definedName>
    <definedName name="AktObr">[4]DP!$AI$12:$AK$12</definedName>
    <definedName name="AktTrw">[4]DP!$AI$10:$AK$10</definedName>
    <definedName name="ala" localSheetId="7">[12]WSTĘP!$IU$9</definedName>
    <definedName name="ala">[12]WSTĘP!$IU$9</definedName>
    <definedName name="Amort">[4]DP!$AI$51:$AK$51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'[9]Zielone zakl  - arkusze tech.'!$AX$141</definedName>
    <definedName name="AOKP">[2]A_T!$A$4</definedName>
    <definedName name="AOKW">'[9]Zielone zakl  - arkusze tech.'!$AX$142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'[13]REPINGGA 10.2008'!#REF!</definedName>
    <definedName name="APO">'[9]Zielone zakl  - arkusze tech.'!$AX$138</definedName>
    <definedName name="APOK">'[9]Zielone zakl  - arkusze tech.'!$AX$143</definedName>
    <definedName name="APOKW">'[9]Zielone zakl  - arkusze tech.'!$AX$144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'[13]REPINGGA 10.2008'!#REF!</definedName>
    <definedName name="AssetsHyperionLine">[14]Lists!$C$2:$C$5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[10]WSTĘP!$IU$13</definedName>
    <definedName name="B.Z.">[10]WSTĘP!$IU$9</definedName>
    <definedName name="badanyrok">[15]ster!$B$4</definedName>
    <definedName name="balance_type">1</definedName>
    <definedName name="Banklist">[14]Lists!$A$2:$A$150</definedName>
    <definedName name="BASE_DATE">#REF!</definedName>
    <definedName name="bb" hidden="1">{#N/A,#N/A,FALSE,"Sheet1"}</definedName>
    <definedName name="bbb" localSheetId="6">#REF!</definedName>
    <definedName name="bbb" localSheetId="7">#REF!</definedName>
    <definedName name="bbb">#REF!</definedName>
    <definedName name="BDATE">#REF!</definedName>
    <definedName name="Beg_Bal">#REF!</definedName>
    <definedName name="bialystok">#REF!</definedName>
    <definedName name="BilansRB">'[16]Informacje Ogólne'!$C$3</definedName>
    <definedName name="BilansRU">'[16]Informacje Ogólne'!$E$3</definedName>
    <definedName name="bk_konto0104">'[17]obroty 0104'!$A$1:$A$65536</definedName>
    <definedName name="bk_konto0204">'[17]obroty 0204'!$A$1:$A$65536</definedName>
    <definedName name="bk_konto0304">'[17]obroty 0304'!$A$1:$A$65536</definedName>
    <definedName name="bk_konto0404">'[17]obroty 0404'!$A$1:$A$65536</definedName>
    <definedName name="bk_konto0504">'[17]obroty 0504'!$A$1:$A$65536</definedName>
    <definedName name="bk_konto0604">'[17]obroty 0604'!$A$1:$A$65536</definedName>
    <definedName name="bk_konto0704">'[17]obroty 0704'!$A$1:$A$65536</definedName>
    <definedName name="bk_konto0804">'[17]obroty 0804'!$A$1:$A$65536</definedName>
    <definedName name="bk_konto0904">'[17]obroty 0904'!$A$1:$A$65536</definedName>
    <definedName name="bk_konto1004">'[17]obroty 1004'!$A$1:$A$65536</definedName>
    <definedName name="bk_konto1104">'[17]obroty 1104'!$A$1:$A$65536</definedName>
    <definedName name="bk_konto1203">'[17]obroty 1203'!$A$1:$A$65536</definedName>
    <definedName name="bk_konto1204">'[17]obroty 1204'!$A$1:$A$65536</definedName>
    <definedName name="bk_sct0104">'[17]obroty 0104'!$G$1:$G$65536</definedName>
    <definedName name="bk_sct0204">'[17]obroty 0204'!$G$1:$G$65536</definedName>
    <definedName name="bk_sct0304">'[17]obroty 0304'!$G$1:$G$65536</definedName>
    <definedName name="bk_sct0404">'[17]obroty 0404'!$G$1:$G$65536</definedName>
    <definedName name="bk_sct0504">'[17]obroty 0504'!$G$1:$G$65536</definedName>
    <definedName name="bk_sct0604">'[17]obroty 0604'!$G$1:$G$65536</definedName>
    <definedName name="bk_sct0704">'[17]obroty 0704'!$G$1:$G$65536</definedName>
    <definedName name="bk_sct0804">'[17]obroty 0804'!$G$1:$G$65536</definedName>
    <definedName name="bk_sct0904">'[17]obroty 0904'!$G$1:$G$65536</definedName>
    <definedName name="bk_sct1004">'[17]obroty 1004'!$G$1:$G$65536</definedName>
    <definedName name="bk_sct1104">'[17]obroty 1104'!$G$1:$G$65536</definedName>
    <definedName name="bk_sct1203">'[17]obroty 1203'!$G$1:$G$65536</definedName>
    <definedName name="bk_sct1204">'[17]obroty 1204'!$G$1:$G$65536</definedName>
    <definedName name="bk_sdt0104">'[17]obroty 0104'!$F$1:$F$65536</definedName>
    <definedName name="bk_sdt0204">'[17]obroty 0204'!$F$1:$F$65536</definedName>
    <definedName name="bk_sdt0304">'[17]obroty 0304'!$F$1:$F$65536</definedName>
    <definedName name="bk_sdt0404">'[17]obroty 0404'!$F$1:$F$65536</definedName>
    <definedName name="bk_sdt0504">'[17]obroty 0504'!$F$1:$F$65536</definedName>
    <definedName name="bk_sdt0604">'[17]obroty 0604'!$F$1:$F$65536</definedName>
    <definedName name="bk_sdt0704">'[17]obroty 0704'!$F$1:$F$65536</definedName>
    <definedName name="bk_sdt0804">'[17]obroty 0804'!$F$1:$F$65536</definedName>
    <definedName name="bk_sdt0904">'[17]obroty 0904'!$F$1:$F$65536</definedName>
    <definedName name="bk_sdt1004">'[17]obroty 1004'!$F$1:$F$65536</definedName>
    <definedName name="bk_sdt1104">'[17]obroty 1104'!$F$1:$F$65536</definedName>
    <definedName name="bk_sdt1203">'[17]obroty 1203'!$F$1:$F$65536</definedName>
    <definedName name="bk_sdt1204">'[17]obroty 1204'!$F$1:$F$65536</definedName>
    <definedName name="BLPH1" hidden="1">'[18]Dutch Peers data'!$A$4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'[18]Dutch Peers data'!$D$4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'[18]shpr&amp;vol'!$A$3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'[18]table data'!$A$4</definedName>
    <definedName name="BO">'[9]Zielone zakl  - arkusze tech.'!$AX$117</definedName>
    <definedName name="Body">[19]Template!#REF!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'[20]CTRL PANEL'!$G$2</definedName>
    <definedName name="BRB">'[16]Informacje Ogólne'!$C$3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'[16]Informacje Ogólne'!$E$3</definedName>
    <definedName name="BS_curr_rec_related">'[21]BS UTA Polska ASSETS 02.10.'!$F$55</definedName>
    <definedName name="bs_date">[22]ster!$B$3</definedName>
    <definedName name="BS_equity">'[20]BS LIABILITES'!$F$6</definedName>
    <definedName name="BS_fixed_assets">'[20]BS ASSETS'!$E$11</definedName>
    <definedName name="BS_invest">'[20]BS ASSETS'!$E$24</definedName>
    <definedName name="BS_lia_curr_rela">'[21]BS UTA Polska  LIABILITES 02.10'!$E$33</definedName>
    <definedName name="BS_NCPREPAYMENTS">'[21]BS UTA Polska ASSETS 02.10.'!$F$44</definedName>
    <definedName name="BS_PREPAYMENTS">'[20]BS ASSETS'!$E$89</definedName>
    <definedName name="BS_profit">'[20]BS LIABILITES'!$F$13</definedName>
    <definedName name="BS_RESERVES">'[20]BS LIABILITES'!$F$16</definedName>
    <definedName name="BS_zob">'[23]BS LIABILITES'!$E$32</definedName>
    <definedName name="BS_zob.dl">'[20]BS LIABILITES'!$F$24</definedName>
    <definedName name="BS_zobY0">'[20]BS LIABILITES'!$G$33</definedName>
    <definedName name="BS_zobY1">'[20]BS LIABILITES'!$F$33</definedName>
    <definedName name="buck" hidden="1">{#N/A,#N/A,FALSE,"Sheet1"}</definedName>
    <definedName name="BUD_RATE">[24]PARAMETERS!$B$180</definedName>
    <definedName name="BUN">'[13]REPINGGA 10.2008'!#REF!</definedName>
    <definedName name="BUV">'[13]REPINGGA 10.2008'!#REF!</definedName>
    <definedName name="BZ">'[9]Zielone zakl  - arkusze tech.'!$AX$116</definedName>
    <definedName name="BZ_1">[4]D_wstępne!$AX$119</definedName>
    <definedName name="BZ_2">[4]D_wstępne!$AX$118</definedName>
    <definedName name="BZ_3">[4]D_wstępne!$AX$115</definedName>
    <definedName name="calc">1</definedName>
    <definedName name="cance" hidden="1">{#N/A,#N/A,TRUE,"PAGE 2";#N/A,#N/A,TRUE,"PAGE 3";#N/A,#N/A,TRUE,"PAGE4"}</definedName>
    <definedName name="CATNR">[24]PARAMETERS!$F$199</definedName>
    <definedName name="CATNR_DEFTAX">[24]PARAMETERS!$F$208</definedName>
    <definedName name="CATNR_LB1">[24]PARAMETERS!$F$200</definedName>
    <definedName name="CATNR_LB2">[24]PARAMETERS!$F$201</definedName>
    <definedName name="CATNR_LB3">[24]PARAMETERS!$F$202</definedName>
    <definedName name="CATNR_LB5">[24]PARAMETERS!$F$203</definedName>
    <definedName name="CATNR_LB6">[24]PARAMETERS!$F$204</definedName>
    <definedName name="CATNR_LB7">[24]PARAMETERS!$F$205</definedName>
    <definedName name="CATNR_LB8">[24]PARAMETERS!$F$206</definedName>
    <definedName name="CATNR_LB9">[24]PARAMETERS!$F$207</definedName>
    <definedName name="CATNR_MAT">[24]PARAMETERS!$F$194</definedName>
    <definedName name="CATNR_MV">[24]PARAMETERS!$F$196</definedName>
    <definedName name="CATNR_PYACQ">[24]PARAMETERS!$F$210</definedName>
    <definedName name="CATNR_PYDEFTAX">[24]PARAMETERS!$F$209</definedName>
    <definedName name="CATNR_TAX">[24]PARAMETERS!$F$197</definedName>
    <definedName name="CATNR_TAXM">[24]PARAMETERS!$F$198</definedName>
    <definedName name="cbcbc" hidden="1">{#N/A,#N/A,FALSE,"Sheet1"}</definedName>
    <definedName name="ccc" hidden="1">{#N/A,#N/A,FALSE,"Sheet1"}</definedName>
    <definedName name="CCY">'[14]Currency rates'!$F$3:$F$65</definedName>
    <definedName name="CF_3.1_RMK">'[25]3.1'!$C$58</definedName>
    <definedName name="CF_3.2_wyd_inw">'[25]3.2'!$C$33</definedName>
    <definedName name="CF_cash_Y">[26]CF!$E$62</definedName>
    <definedName name="CF_dz.fin">[26]CF!$E$58</definedName>
    <definedName name="cfff">#REF!</definedName>
    <definedName name="chris" hidden="1">{#N/A,#N/A,FALSE,"Sheet1"}</definedName>
    <definedName name="CIT">[27]CIT!$C$3</definedName>
    <definedName name="City">#REF!</definedName>
    <definedName name="clearaccounts1">[28]Accounts!$G$12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 localSheetId="6">#REF!</definedName>
    <definedName name="COP" localSheetId="7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[29]SF!$C$11:$D$14,[29]SF!$C$17:$D$23,[29]SF!$C$25:$D$26,[29]SF!$C$28:$D$29,[29]SF!$C$32:$D$35,[29]SF!$C$37:$D$41,[29]SF!$C$43:$D$44,[29]SF!$C$47:$D$51,[29]SF!$C$55:$D$57,[29]SF!$C$60:$D$64,[29]SF!$C$68:$D$71,[29]SF!$C$73:$D$76,[29]SF!$C$78:$D$82</definedName>
    <definedName name="Dane_Bilansu">[30]SF!$C$11:$D$15,[30]SF!$C$17:$D$23,[30]SF!$C$25:$D$29,[30]SF!$C$32:$D$36,[30]SF!$C$38:$D$42,[30]SF!$C$44:$D$45,[30]SF!$C$47:$D$49,[30]SF!$C$51:$D$52,[30]SF!$C$60:$D$61,[30]SF!$C$63:$D$69,[30]SF!$C$71:$D$72,[30]SF!$C$74:$D$75,[30]SF!$C$77:$D$78,[30]SF!$C$80:$D$82,[30]SF!$C$85:$D$94,[30]SF!$C$96:$D$97</definedName>
    <definedName name="Dane_kalkulacyjny">[29]SF!$C$201:$D$203,[29]SF!$C$205:$D$207,[29]SF!$C$209:$D$210,[29]SF!$C$213:$D$215,[29]SF!$C$217:$D$219,[29]SF!$C$222:$D$228,[29]SF!$C$230:$D$234,[29]SF!$C$237:$D$238,[29]SF!$C$240:$D$241</definedName>
    <definedName name="Dane_pasywa">[29]SF!$C$90:$D$98,[29]SF!$C$101:$D$101,[29]SF!$C$103:$D$104,[29]SF!$C$106:$D$107,[29]SF!$C$109:$D$109,[29]SF!$C$111:$D$114,[29]SF!$C$118:$D$120,[29]SF!$C$122:$D$124,[29]SF!$C$126:$D$133,[29]SF!$C$135:$D$135,[29]SF!$C$137:$D$138</definedName>
    <definedName name="Dane_porównawczy">[29]SF!$C$147:$D$151,[29]SF!$C$153:$D$161,[29]SF!$C$164:$D$166,[29]SF!$C$168:$D$170,[29]SF!$C$173:$D$179,[29]SF!$C$181:$D$185,[29]SF!$C$188:$D$189,[29]SF!$C$191:$D$192</definedName>
    <definedName name="Dane_RZiS_1.Rodz.">[30]SF!$C$105:$D$108,[30]SF!$C$110:$D$117,[30]SF!$C$120:$D$122,[30]SF!$C$124:$D$125,[30]SF!$C$128:$D$131,[30]SF!$C$133:$D$136,[30]SF!$C$138:$D$139,[30]SF!$C$142:$D$143</definedName>
    <definedName name="Dane_RZiS_2.Kalk.">[30]SF!$C$151,[30]SF!$C$151:$D$152,[30]SF!$C$154:$D$155,[30]SF!$C$157:$D$158,[30]SF!$C$161:$D$163,[30]SF!$C$165:$D$166,[30]SF!$C$169:$D$172,[30]SF!$C$174:$D$177,[30]SF!$C$179:$D$180,[30]SF!$C$183:$D$184</definedName>
    <definedName name="Data">[4]D_wstępne!$AX$153</definedName>
    <definedName name="data1" hidden="1">#REF!</definedName>
    <definedName name="data2" hidden="1">#REF!</definedName>
    <definedName name="data3" hidden="1">#REF!</definedName>
    <definedName name="DATA4">[31]Arkusz1!$E$4:$E$410</definedName>
    <definedName name="DATA5">[31]Arkusz1!$F$4:$F$410</definedName>
    <definedName name="dataspr">[32]akt!$A$51</definedName>
    <definedName name="DataZatw">[33]Wstęp!$CI$88</definedName>
    <definedName name="DATE_CR">[24]PARAMETERS!$B$11</definedName>
    <definedName name="DATE_FI">[24]END!$E$3</definedName>
    <definedName name="DAYS">#REF!</definedName>
    <definedName name="DB">[34]P1!$AX$126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[24]PARAMETERS!$D$102</definedName>
    <definedName name="DI2NR_A_CYPY">[24]PARAMETERS!$D$93</definedName>
    <definedName name="DI2NR_A_CYPYPPY">[24]PARAMETERS!$D$90</definedName>
    <definedName name="DI2NR_A_PY">[24]PARAMETERS!$D$105</definedName>
    <definedName name="DI2NR_A_PYPPY">[24]PARAMETERS!$D$96</definedName>
    <definedName name="DI2NR_D_CYPY">[24]PARAMETERS!$D$94</definedName>
    <definedName name="DI2NR_D_CYPYPPY">[24]PARAMETERS!$D$91</definedName>
    <definedName name="DI2NR_D_PYPPY">[24]PARAMETERS!$D$97</definedName>
    <definedName name="DI2NR_T_CY">[24]PARAMETERS!$D$104</definedName>
    <definedName name="DI2NR_T_CYPY">[24]PARAMETERS!$D$95</definedName>
    <definedName name="DI2NR_T_CYPYPPY">[24]PARAMETERS!$D$92</definedName>
    <definedName name="DI2NR_T_PPY">[24]PARAMETERS!$D$110</definedName>
    <definedName name="DI2NR_T_PY">[24]PARAMETERS!$D$107</definedName>
    <definedName name="DI2NR_T_PYPPY">[24]PARAMETERS!$D$98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[35]SignificantAcctsTemplate!#REF!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'[13]REPINGGA 10.2008'!#REF!</definedName>
    <definedName name="DVLP">[24]PARAMETERS!$B$13</definedName>
    <definedName name="e" hidden="1">{#N/A,#N/A,FALSE,"Créances";#N/A,#N/A,FALSE,"Effectifs";#N/A,#N/A,FALSE,"SI"}</definedName>
    <definedName name="ED_txt">[36]Texte!$B$1:$D$65536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'[37]zestawienie laczne'!#REF!</definedName>
    <definedName name="eliminacjeMSR">'[37]zestawienie laczne'!#REF!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'[38]Section 11.7'!$B$4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[36]Parameter!$D$9</definedName>
    <definedName name="Firma_Name">[36]Parameter!$D$7</definedName>
    <definedName name="Firmen_Gruppe">[39]Parameter!$D$3</definedName>
    <definedName name="FixedFloat">[14]Lists!$E$2:$E$3</definedName>
    <definedName name="Flash" hidden="1">{#N/A,#N/A,FALSE,"Créances";#N/A,#N/A,FALSE,"Effectifs";#N/A,#N/A,FALSE,"SI"}</definedName>
    <definedName name="Förändringar">#REF!</definedName>
    <definedName name="FR">[24]PARAMETERS!$B$16</definedName>
    <definedName name="Frango_format">#REF!</definedName>
    <definedName name="FRED" hidden="1">{"' calendrier 2000'!$A$1:$Q$38"}</definedName>
    <definedName name="FRMEML">[24]PARAMETERS!$B$7</definedName>
    <definedName name="FRMNR">[24]PARAMETERS!$B$4</definedName>
    <definedName name="FromaPrawna">[10]WSTĘP!$IU$3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[22]ster!$B$12</definedName>
    <definedName name="IAS39assets">[14]Lists!$G$3:$G$6</definedName>
    <definedName name="IAS39Liabilities">[14]Lists!$G$11:$G$12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[24]PARAMETERS!$B$64</definedName>
    <definedName name="inf.na.dzien0">'[26]CTRL PANEL'!$C$4</definedName>
    <definedName name="inf.na_dzien">'[26]CTRL PANEL'!$B$4</definedName>
    <definedName name="inf.spolka">'[26]CTRL PANEL'!$B$11</definedName>
    <definedName name="inf.za.okres1">#REF!</definedName>
    <definedName name="Int">#REF!</definedName>
    <definedName name="Interest_Rate">#REF!</definedName>
    <definedName name="INVEST">#REF!</definedName>
    <definedName name="InwKtrm">[4]DP!$AI$16:$AK$16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[4]DP!$AI$28:$AK$28</definedName>
    <definedName name="KapOb">[4]DP!$AI$20:$AK$20</definedName>
    <definedName name="KapWł">[4]DP!$AI$18:$AK$18</definedName>
    <definedName name="KapWłBezWyn">[4]DP!$AI$19:$AK$19</definedName>
    <definedName name="KDO">[4]DP!$AI$38:$AK$38</definedName>
    <definedName name="KF">[4]DP!$AI$43:$AK$43</definedName>
    <definedName name="kodmiejscowość">[10]WSTĘP!$IU$6</definedName>
    <definedName name="KonOkrSpraw">[33]Wstęp!$CI$73</definedName>
    <definedName name="konto0101">'[6]obroty 0101'!$A$2:$A$1530</definedName>
    <definedName name="konto0102">'[6]obroty 0102'!$A$2:$A$1640</definedName>
    <definedName name="konto0103">'[6]obroty 0103'!$A$2:$A$1752</definedName>
    <definedName name="konto0201">'[6]obroty 0201'!$A$2:$A$1530</definedName>
    <definedName name="konto0202">'[6]obroty 0202'!$A$2:$A$1641</definedName>
    <definedName name="konto0203">'[6]obroty 0203'!$A$2:$A$1770</definedName>
    <definedName name="konto0301">'[6]obroty 0301'!$A$2:$A$1535</definedName>
    <definedName name="konto0302">'[6]obroty 0302'!$A$2:$A$1650</definedName>
    <definedName name="konto0303">'[6]obroty 0303'!$A$2:$A$1807</definedName>
    <definedName name="konto0401">'[6]obroty 0401'!$A$2:$A$1535</definedName>
    <definedName name="konto0402">'[6]obroty 0402'!$A$2:$A$1660</definedName>
    <definedName name="konto0403">'[6]obroty 0403'!$A$2:$A$1791</definedName>
    <definedName name="konto0501">'[6]obroty 0501'!$A$2:$A$1541</definedName>
    <definedName name="konto0502">'[6]obroty 0502'!$A$2:$A$1652</definedName>
    <definedName name="konto0503">'[6]obroty 0503'!$A$2:$A$1800</definedName>
    <definedName name="konto0504">#REF!</definedName>
    <definedName name="konto0601">'[6]obroty 0601'!$A$2:$A$1544</definedName>
    <definedName name="konto0602">'[6]obroty 0602'!$A$2:$A$1655</definedName>
    <definedName name="konto0603">'[6]obroty 0603'!$A$2:$A$1800</definedName>
    <definedName name="konto0604">#REF!</definedName>
    <definedName name="konto0605">#REF!</definedName>
    <definedName name="konto0701">'[6]obroty 0701'!$A$2:$A$1545</definedName>
    <definedName name="konto0702">'[6]obroty 0702'!$A$2:$A$1680</definedName>
    <definedName name="konto0703">'[6]obroty 0703'!$A$2:$A$1843</definedName>
    <definedName name="konto0705">#REF!</definedName>
    <definedName name="konto0801">'[6]obroty 0801'!$A$2:$A$1546</definedName>
    <definedName name="konto0802">'[6]obroty 0802'!$A$2:$A$1683</definedName>
    <definedName name="konto0803">'[6]obroty 0803'!$A$2:$A$1825</definedName>
    <definedName name="konto0901">'[6]obroty 0901'!$A$2:$A$1546</definedName>
    <definedName name="konto0902">'[6]obroty 0902'!$A$2:$A$1694</definedName>
    <definedName name="konto0903">'[6]obroty 0903'!$A$2:$A$1820</definedName>
    <definedName name="konto0904">#REF!</definedName>
    <definedName name="konto1001">'[6]obroty 1001'!$A$2:$A$1551</definedName>
    <definedName name="konto1002">'[6]obroty 1002'!$A$2:$A$1700</definedName>
    <definedName name="konto1003">'[6]obroty 1003'!$A$2:$A$1830</definedName>
    <definedName name="konto1101">'[6]obroty 1101'!$A$2:$A$1561</definedName>
    <definedName name="konto1102">'[6]obroty 1102'!$A$2:$A$1702</definedName>
    <definedName name="konto1103">'[6]obroty 1103'!$A$2:$A$1830</definedName>
    <definedName name="konto1104">#REF!</definedName>
    <definedName name="konto1105">#REF!</definedName>
    <definedName name="konto1200">'[6]obroty 1200'!$A$2:$A$1520</definedName>
    <definedName name="konto1201">'[6]obroty 1201'!$A$2:$A$1605</definedName>
    <definedName name="konto1202">'[6]obroty 1202'!$A$2:$A$1740</definedName>
    <definedName name="konto1203">#REF!</definedName>
    <definedName name="konto1204">#REF!</definedName>
    <definedName name="Konto1205">#REF!</definedName>
    <definedName name="Korekty_Aktywa">[30]SF!$F$11:$U$15,[30]SF!$F$17:$U$23,[30]SF!$F$25:$U$29,[30]SF!$F$32:$U$36,[30]SF!$F$38:$T$42,[30]SF!$U$38,[30]SF!$U$40:$U$42,[30]SF!$F$44:$U$45,[30]SF!$F$47:$U$49,[30]SF!$F$51:$U$52</definedName>
    <definedName name="Korekty_Pasywa">[30]SF!$F$60:$U$61,[30]SF!$F$63:$U$69,[30]SF!$F$71:$U$72,[30]SF!$F$75:$U$75,[30]SF!$F$77:$U$78,[30]SF!$F$80:$U$82,[30]SF!$F$85:$T$94,[30]SF!$U$85:$U$89,[30]SF!$U$91:$U$94,[30]SF!$F$96:$U$97</definedName>
    <definedName name="Korekty_RZiS_1.Rodz.">[30]SF!$F$105:$U$108,[30]SF!$F$110:$U$117,[30]SF!$F$120:$U$122,[30]SF!$F$124:$U$125,[30]SF!$F$128:$U$131,[30]SF!$F$133:$U$136,[30]SF!$F$138:$U$139,[30]SF!$F$142:$T$143,[30]SF!$U$143</definedName>
    <definedName name="Korekty_RZiS_2.Kalk.">[30]SF!$F$151:$U$152,[30]SF!$F$154:$U$155,[30]SF!$F$157:$U$158,[30]SF!$F$161:$U$163,[30]SF!$F$165:$U$166,[30]SF!$F$169:$U$172,[30]SF!$F$174:$U$177,[30]SF!$F$179:$U$180,[30]SF!$F$183:$T$184,[30]SF!$U$184</definedName>
    <definedName name="koto0302">'[6]obroty 0302'!$A$2:$A$1650</definedName>
    <definedName name="kursAVR">[40]Kursy!$D$5</definedName>
    <definedName name="kursbil">[41]Kursy!$D$3</definedName>
    <definedName name="kursBO">[40]Kursy!$D$2</definedName>
    <definedName name="kursBZ">[40]Kursy!$D$3</definedName>
    <definedName name="kurswyn">[41]Kursy!$D$8</definedName>
    <definedName name="LANG">[16]Menu!#REF!</definedName>
    <definedName name="Last_Row">IF(Values_Entered,Header_Row+Number_of_Payments,Header_Row)</definedName>
    <definedName name="LDB">[34]P1!$AX$123</definedName>
    <definedName name="LiabilitiesHyperionLine">[14]Lists!$C$9:$C$13</definedName>
    <definedName name="lis">#REF!</definedName>
    <definedName name="LISTA">[42]Meta!#REF!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[24]PARAMETERS!$B$14</definedName>
    <definedName name="LOK">[34]P1!$AX$124</definedName>
    <definedName name="LOKW">[34]P1!$AX$125</definedName>
    <definedName name="lut">#REF!</definedName>
    <definedName name="m" hidden="1">#N/A</definedName>
    <definedName name="MA_TAX_YES">[24]PARAMETERS!$B$218</definedName>
    <definedName name="MACROS">#REF!</definedName>
    <definedName name="mar">#REF!</definedName>
    <definedName name="Materiality">[43]Materiality!$B$9:$B$16</definedName>
    <definedName name="mdc" hidden="1">{#N/A,#N/A,FALSE,"Sheet1"}</definedName>
    <definedName name="MEWarning" hidden="1">0</definedName>
    <definedName name="MiejsceData">[10]WSTĘP!$IU$78</definedName>
    <definedName name="miejscowość">[10]WSTĘP!$IU$8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 localSheetId="3">[7]SF!$C$11:$D$14,[7]SF!$C$17:$D$23,[7]SF!$C$25:$D$26,[7]SF!$C$28:$D$29,[7]SF!$C$32:$D$35,[7]SF!$C$37:$D$41,[7]SF!$C$43:$D$44,[7]SF!$C$47:$D$51,[7]SF!$C$55:$D$57,[7]SF!$C$60:$D$64,[7]SF!$C$68:$D$71,[7]SF!$C$73:$D$76,[7]SF!$C$78:$D$82</definedName>
    <definedName name="mm" localSheetId="1">[7]SF!$C$11:$D$14,[7]SF!$C$17:$D$23,[7]SF!$C$25:$D$26,[7]SF!$C$28:$D$29,[7]SF!$C$32:$D$35,[7]SF!$C$37:$D$41,[7]SF!$C$43:$D$44,[7]SF!$C$47:$D$51,[7]SF!$C$55:$D$57,[7]SF!$C$60:$D$64,[7]SF!$C$68:$D$71,[7]SF!$C$73:$D$76,[7]SF!$C$78:$D$82</definedName>
    <definedName name="mm" localSheetId="2">[7]SF!$C$11:$D$14,[7]SF!$C$17:$D$23,[7]SF!$C$25:$D$26,[7]SF!$C$28:$D$29,[7]SF!$C$32:$D$35,[7]SF!$C$37:$D$41,[7]SF!$C$43:$D$44,[7]SF!$C$47:$D$51,[7]SF!$C$55:$D$57,[7]SF!$C$60:$D$64,[7]SF!$C$68:$D$71,[7]SF!$C$73:$D$76,[7]SF!$C$78:$D$82</definedName>
    <definedName name="mm" localSheetId="4">[7]SF!$C$11:$D$14,[7]SF!$C$17:$D$23,[7]SF!$C$25:$D$26,[7]SF!$C$28:$D$29,[7]SF!$C$32:$D$35,[7]SF!$C$37:$D$41,[7]SF!$C$43:$D$44,[7]SF!$C$47:$D$51,[7]SF!$C$55:$D$57,[7]SF!$C$60:$D$64,[7]SF!$C$68:$D$71,[7]SF!$C$73:$D$76,[7]SF!$C$78:$D$82</definedName>
    <definedName name="mm">[8]SF!$C$11:$D$14,[8]SF!$C$17:$D$23,[8]SF!$C$25:$D$26,[8]SF!$C$28:$D$29,[8]SF!$C$32:$D$35,[8]SF!$C$37:$D$41,[8]SF!$C$43:$D$44,[8]SF!$C$47:$D$51,[8]SF!$C$55:$D$57,[8]SF!$C$60:$D$64,[8]SF!$C$68:$D$71,[8]SF!$C$73:$D$76,[8]SF!$C$78:$D$82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[36]Parameter!$N$56</definedName>
    <definedName name="Monat">[36]Parameter!$D$5</definedName>
    <definedName name="MONTH">[24]PARAMETERS!$C$183</definedName>
    <definedName name="n" localSheetId="6">#REF!</definedName>
    <definedName name="n" localSheetId="7">#REF!</definedName>
    <definedName name="n">#REF!</definedName>
    <definedName name="n.ee.nikosaxde">'[40]Obroty grupa'!$I$120</definedName>
    <definedName name="n.ee.utade">'[40]Obroty grupa'!$I$13</definedName>
    <definedName name="n.lt.nikosaxde">'[40]Obroty grupa'!$F$120</definedName>
    <definedName name="n.lt.utade">'[40]Obroty grupa'!$F$13</definedName>
    <definedName name="n.lt.utaee">'[40]Obroty grupa'!$F$66</definedName>
    <definedName name="n.lt.utapl">'[40]Obroty grupa'!$F$142</definedName>
    <definedName name="n.nikosaxde">'[20]OBROTY GRUPA'!$C$121</definedName>
    <definedName name="n.nikosaxpl">'[20]OBROTY GRUPA'!$C$103</definedName>
    <definedName name="n.pl.nikosaxde">'[40]Obroty grupa'!$C$120</definedName>
    <definedName name="n.pl.nikosaxpl">'[40]Obroty grupa'!$C$102</definedName>
    <definedName name="n.pl.utade">'[40]Obroty grupa'!$C$13</definedName>
    <definedName name="n.pl.utaee">'[40]Obroty grupa'!$C$66</definedName>
    <definedName name="n.pl.utahu">'[40]Obroty grupa'!$C$30</definedName>
    <definedName name="n.pl.utalt">'[40]Obroty grupa'!$C$84</definedName>
    <definedName name="n.pl.utaua">'[40]Obroty grupa'!$C$48</definedName>
    <definedName name="n.raz.nikosaxde">'[40]Obroty grupa'!$O$120</definedName>
    <definedName name="n.raz.nikosaxpl">'[40]Obroty grupa'!$C$102</definedName>
    <definedName name="n.raz.utade">'[40]Obroty grupa'!$O$13</definedName>
    <definedName name="n.raz.utaee">'[40]Obroty grupa'!$O$66</definedName>
    <definedName name="n.raz.utahu">'[40]Obroty grupa'!$O$30</definedName>
    <definedName name="n.raz.utalt">'[40]Obroty grupa'!$O$84</definedName>
    <definedName name="n.raz.utaua">'[40]Obroty grupa'!$O$48</definedName>
    <definedName name="n.utade">'[20]OBROTY GRUPA'!$C$14</definedName>
    <definedName name="n.utaee">'[20]OBROTY GRUPA'!$C$67</definedName>
    <definedName name="n.utahu">'[20]OBROTY GRUPA'!$C$31</definedName>
    <definedName name="n.utalt">'[20]OBROTY GRUPA'!$C$85</definedName>
    <definedName name="n.utalt.utaee">'[40]Obroty grupa'!$F$66</definedName>
    <definedName name="n.utaua">'[20]OBROTY GRUPA'!$C$49</definedName>
    <definedName name="n_4.3_sprzed.pow">'[23]4.3'!$I$14</definedName>
    <definedName name="nal_1.8">#REF!</definedName>
    <definedName name="nal_dl_1.8">#REF!</definedName>
    <definedName name="NalD12">[4]DP!$AI$15:$AK$15</definedName>
    <definedName name="NalHandl">[4]DP!$AI$14:$AK$14</definedName>
    <definedName name="NalKtrm">[4]DP!$AI$13:$AK$13</definedName>
    <definedName name="Name">#REF!</definedName>
    <definedName name="NazwaJednostki">[33]Wstęp!$Q$15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'[2]N_31-55'!#REF!</definedName>
    <definedName name="Nota_39">'[2]N_31-55'!#REF!</definedName>
    <definedName name="Nota_40">'[2]N_31-55'!#REF!</definedName>
    <definedName name="Nota_56">'[4]N_56-67'!#REF!</definedName>
    <definedName name="Nota_6">'[2]N_1-30A'!#REF!</definedName>
    <definedName name="NOTE_1.6_PROVISIONS">[20]REZERWY!#REF!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'[20]POZ PRZYCH I KOSZTY'!$C$54</definedName>
    <definedName name="NOTE_6.2_OTHER_INCOME">'[20]POZ PRZYCH I KOSZTY'!$C$6</definedName>
    <definedName name="NOTE_6.3_FINANCIAL_COSTS">'[26]6.3'!$F$52</definedName>
    <definedName name="NOTE_6.3_FINANCIAL_INCOME">'[26]6.3'!$F$6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'[13]REPINGGA 10.2008'!#REF!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_xlnm.Print_Area" localSheetId="5">Bilans_j!$A$1:$D$64</definedName>
    <definedName name="_xlnm.Print_Area" localSheetId="0">Bilans_s!$A$1:$D$82</definedName>
    <definedName name="_xlnm.Print_Area" localSheetId="8">CF_j!$A$1:$C$66</definedName>
    <definedName name="_xlnm.Print_Area" localSheetId="3">CF_s!$A$1:$C$82</definedName>
    <definedName name="_xlnm.Print_Area" localSheetId="6">RZIS_j!$A$1:$D$74</definedName>
    <definedName name="_xlnm.Print_Area" localSheetId="1">RZIS_s!$A$1:$D$64</definedName>
    <definedName name="_xlnm.Print_Area" localSheetId="7">SSCD_j!$A$1:$D$21</definedName>
    <definedName name="_xlnm.Print_Area" localSheetId="2">SSCD_s!$A$1:$D$23</definedName>
    <definedName name="_xlnm.Print_Area" localSheetId="9">ZZKW_j!$A$1:$F$26</definedName>
    <definedName name="_xlnm.Print_Area" localSheetId="4">ZZKW_s!$A$1:$I$33</definedName>
    <definedName name="OdDo">[33]Wstęp!$CI$63</definedName>
    <definedName name="OdDoPoprz">[33]Wstęp!$CI$64</definedName>
    <definedName name="Ods">[4]DP!$AI$44:$AK$44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[35]SignificantAcctsTemplate!#REF!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[34]P1!$AX$127</definedName>
    <definedName name="OK_1">[4]D_wstępne!$AX$125</definedName>
    <definedName name="OK_2">[4]D_wstępne!$AX$124</definedName>
    <definedName name="OK_3">[4]D_wstępne!$AX$123</definedName>
    <definedName name="okres">[27]slo_poz!$I$3</definedName>
    <definedName name="OKRES_1">[4]D_wstępne!$AX$122</definedName>
    <definedName name="OKRES_2">[4]D_wstępne!$AX$121</definedName>
    <definedName name="OKRES_3">[4]D_wstępne!$AX$120</definedName>
    <definedName name="okres2">[27]slo_poz!$J$3</definedName>
    <definedName name="okresbieżący">[10]WSTĘP!$IU$16</definedName>
    <definedName name="okrespoprzedni">[10]WSTĘP!$IU$18</definedName>
    <definedName name="OkresSF">'[9]Zielone zakl  - arkusze tech.'!$AX$109</definedName>
    <definedName name="opcja">'[9]Zielone zakl  - arkusze tech.'!$AX$152</definedName>
    <definedName name="OPR">'[13]REPINGGA 10.2008'!#REF!</definedName>
    <definedName name="OrderTable" hidden="1">#REF!</definedName>
    <definedName name="ORG_NAME">[24]PARAMETERS!$I$22</definedName>
    <definedName name="ORG_NR_NAME">[24]PARAMETERS!$C$22</definedName>
    <definedName name="ostatnia_komórka">#REF!</definedName>
    <definedName name="Other">'[44]1 Other companies 1998'!#REF!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[34]P1!$AX$134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[22]ster!$B$10</definedName>
    <definedName name="paskorekty">[22]ster!$B$11</definedName>
    <definedName name="Pay_Date">#REF!</definedName>
    <definedName name="Pay_Num">#REF!</definedName>
    <definedName name="Payment_Date">DATE(YEAR(Loan_Start),MONTH(Loan_Start)+Payment_Number,DAY(Loan_Start))</definedName>
    <definedName name="PDOP">[4]DP!$AI$48:$AK$48</definedName>
    <definedName name="PDRB">'[16]Informacje Ogólne'!$C$15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[39]Parameter!$I$20:$I$77</definedName>
    <definedName name="PERNR01">[24]PARAMETERS!$C$73</definedName>
    <definedName name="PERNR01_M1">[24]PARAMETERS!$C$74</definedName>
    <definedName name="PERNR01_M2">[24]PARAMETERS!$C$75</definedName>
    <definedName name="PERNR01_M3">[24]PARAMETERS!$C$76</definedName>
    <definedName name="PERNR02">[24]PARAMETERS!$D$73</definedName>
    <definedName name="PERNR02_M1">[24]PARAMETERS!$D$74</definedName>
    <definedName name="PERNR03">[24]PARAMETERS!$E$73</definedName>
    <definedName name="PERNR03_M1">[24]PARAMETERS!$E$74</definedName>
    <definedName name="PERNR04">[24]PARAMETERS!$F$73</definedName>
    <definedName name="PERNR04_M1">[24]PARAMETERS!$F$74</definedName>
    <definedName name="PERNR05">[24]PARAMETERS!$G$73</definedName>
    <definedName name="PERNR05_M1">[24]PARAMETERS!$G$74</definedName>
    <definedName name="PERNR06">[24]PARAMETERS!$H$73</definedName>
    <definedName name="PERNR06_M1">[24]PARAMETERS!$H$74</definedName>
    <definedName name="PERNR07">[24]PARAMETERS!$I$73</definedName>
    <definedName name="PERNR07_M1">[24]PARAMETERS!$I$74</definedName>
    <definedName name="PERNR08">[24]PARAMETERS!$J$73</definedName>
    <definedName name="PERNR08_M1">[24]PARAMETERS!$J$74</definedName>
    <definedName name="PERNR09">[24]PARAMETERS!$K$73</definedName>
    <definedName name="PERNR09_M1">[24]PARAMETERS!$K$74</definedName>
    <definedName name="PERNR10">[24]PARAMETERS!$L$73</definedName>
    <definedName name="PERNR10_M1">[24]PARAMETERS!$L$74</definedName>
    <definedName name="PERNR11">[24]PARAMETERS!$M$73</definedName>
    <definedName name="PERNR11_M1">[24]PARAMETERS!$M$74</definedName>
    <definedName name="PERNR12">[24]PARAMETERS!$N$73</definedName>
    <definedName name="PERNR12_M1">[24]PARAMETERS!$N$74</definedName>
    <definedName name="PERNR12_M2">[24]PARAMETERS!$N$75</definedName>
    <definedName name="PF">[4]DP!$AI$42:$AK$42</definedName>
    <definedName name="Phone">#REF!</definedName>
    <definedName name="pierwsza_komórka">#REF!</definedName>
    <definedName name="PKO">[4]DP!$AI$41:$AK$41</definedName>
    <definedName name="PL_CIT_curr">'[25]P&amp;L'!$F$48</definedName>
    <definedName name="PL_FINANCIAL_COSTS">'[20]P&amp;L'!$F$41</definedName>
    <definedName name="PL_FINANCIAL_INCOME">'[20]P&amp;L'!$F$33</definedName>
    <definedName name="PL_OTHER_COSTS">'[20]P&amp;L'!$F$28</definedName>
    <definedName name="PL_OTHER_INCOME">'[45]P&amp;L'!$E$23</definedName>
    <definedName name="PL_other_oper_income">'[20]P&amp;L'!$F$27</definedName>
    <definedName name="PNzS">[4]DP!$AI$37:$AK$37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[10]WSTĘP!$IU$15</definedName>
    <definedName name="Portails" hidden="1">{"' calendrier 2000'!$A$1:$Q$38"}</definedName>
    <definedName name="PoziomZaokraglen">[33]Wstęp!$CI$117</definedName>
    <definedName name="PozObZm">[4]DP!$AI$49:$AK$49</definedName>
    <definedName name="PPO">[4]DP!$AI$40:$AK$40</definedName>
    <definedName name="PR">'[20]CTRL PANEL'!$G$3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[20]Arkusz1!$C$3</definedName>
    <definedName name="r.b_0">[20]Arkusz1!$C$4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'[13]REPINGGA 10.2008'!#REF!</definedName>
    <definedName name="RBU">'[13]REPINGGA 10.2008'!#REF!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[24]PARAMETERS!$B$213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[4]DP!$AI$17:$AK$17</definedName>
    <definedName name="round">1</definedName>
    <definedName name="RPOP">[2]A_T!$A$3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[35]Configure!#REF!</definedName>
    <definedName name="RWRB">'[16]Informacje Ogólne'!$C$5</definedName>
    <definedName name="RWRU">'[16]Informacje Ogólne'!$E$5</definedName>
    <definedName name="RzAktTrw">[4]DP!$AI$11:$AK$11</definedName>
    <definedName name="RZISjednoKRSwzor">[33]Wstęp!$Q$15</definedName>
    <definedName name="RZiSvar">'[9]Zielone zakl  - arkusze tech.'!$AX$149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'[40]Obroty grupa'!$I$115</definedName>
    <definedName name="s.ee.utade">'[40]Obroty grupa'!$I$8</definedName>
    <definedName name="s.lt.nikosaxde">'[40]Obroty grupa'!$F$115</definedName>
    <definedName name="s.lt.utade">'[40]Obroty grupa'!$F$8</definedName>
    <definedName name="S.NIKOSAX">'[20]OBROTY GRUPA'!$C$98</definedName>
    <definedName name="S.NIKOSAXDE">'[20]OBROTY GRUPA'!$C$116</definedName>
    <definedName name="s.pl.nikosaxde">'[40]Obroty grupa'!$C$115</definedName>
    <definedName name="s.pl.utade">'[40]Obroty grupa'!$C$8</definedName>
    <definedName name="s.pl.utaee">'[40]Obroty grupa'!$C$61</definedName>
    <definedName name="s.pl.utahu">'[40]Obroty grupa'!$C$25</definedName>
    <definedName name="s.pl.utalt">'[40]Obroty grupa'!$C$79</definedName>
    <definedName name="s.plnikosaxpl">'[40]Obroty grupa'!$C$97</definedName>
    <definedName name="s.raz.nikosaxde">'[40]Obroty grupa'!$O$115</definedName>
    <definedName name="s.raz.nikosaxpl">'[40]Obroty grupa'!$O$97</definedName>
    <definedName name="s.raz.utade">'[40]Obroty grupa'!$O$8</definedName>
    <definedName name="s.raz.utahu">'[40]Obroty grupa'!$O$25</definedName>
    <definedName name="S.UTADE">'[20]OBROTY GRUPA'!$C$9</definedName>
    <definedName name="S.UTAEE">'[20]OBROTY GRUPA'!$C$62</definedName>
    <definedName name="S.UTAHU">'[20]OBROTY GRUPA'!$C$26</definedName>
    <definedName name="S.UTALT">'[20]OBROTY GRUPA'!$C$80</definedName>
    <definedName name="S.UTAUA">'[20]OBROTY GRUPA'!$C$44</definedName>
    <definedName name="s_10">'[16]Informacje Ogólne'!$E$7</definedName>
    <definedName name="s_11">'[16]Informacje Ogólne'!$C$7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[35]Configure!$O$7</definedName>
    <definedName name="SequenceCYEndDate">[35]Configure!$J$23</definedName>
    <definedName name="SequenceCYINCBeginDate">[35]Configure!#REF!</definedName>
    <definedName name="SequenceCYINCEndDate">[35]Configure!#REF!</definedName>
    <definedName name="SequenceDLLBuild">[35]Configure!#REF!</definedName>
    <definedName name="SequenceDLLVersion">[35]Configure!#REF!</definedName>
    <definedName name="SequenceProjName">[35]Configure!$O$6</definedName>
    <definedName name="SequenceProjServer">[35]Configure!#REF!</definedName>
    <definedName name="SequenceSQLDBVersion">[35]Configure!#REF!</definedName>
    <definedName name="SequenceUserLogin">[35]Configure!#REF!</definedName>
    <definedName name="SequenceUserName">[35]Configure!#REF!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[46]Info!$AX$189</definedName>
    <definedName name="sfdsdfdf" hidden="1">{#N/A,#N/A,FALSE,"Créances";#N/A,#N/A,FALSE,"Effectifs";#N/A,#N/A,FALSE,"SI"}</definedName>
    <definedName name="SFin">[4]D_wstępne!$AX$145</definedName>
    <definedName name="SFN">'[13]REPINGGA 10.2008'!#REF!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[33]Wstęp!$V$19</definedName>
    <definedName name="SkrotWaluty">[33]Wstęp!$CI$108</definedName>
    <definedName name="SLN">'[13]REPINGGA 10.2008'!#REF!</definedName>
    <definedName name="slo_okres">[27]slo_poz!$E$3:$E$14</definedName>
    <definedName name="slo_okres_naz">[27]slo_poz!$E$3:$F$14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[4]DP!$AI$46:$AK$46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[36]Parameter!$H$11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[24]PARAMETERS!$B$1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'[20]CTRL PANEL'!$B$5</definedName>
    <definedName name="stan_BZ">'[20]CTRL PANEL'!$B$6</definedName>
    <definedName name="START">#REF!</definedName>
    <definedName name="State">#REF!</definedName>
    <definedName name="STD">'[13]REPINGGA 10.2008'!#REF!</definedName>
    <definedName name="STN">'[13]REPINGGA 10.2008'!#REF!</definedName>
    <definedName name="sty">#REF!</definedName>
    <definedName name="SumBil">[4]DP!$AI$27:$AK$27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[41]SLO!$B$3:$B$5</definedName>
    <definedName name="TAB_POMOC">[47]B_elekt_SAP!$E$13:$K$1007</definedName>
    <definedName name="tab_pomoc1">[47]B_elekt_SAP!$E$13:$N$999</definedName>
    <definedName name="tab_RZiS">[47]BilansRZiS!$B$1:$F$896</definedName>
    <definedName name="Tabela_1.1">[34]SF!$B$5:$AK$83</definedName>
    <definedName name="Tabela_1.2">[34]SF!$B$85:$AK$139</definedName>
    <definedName name="Tabela_2.1">[34]SF!$B$142:$AK$194</definedName>
    <definedName name="Tabela_2.2">[34]SF!$B$197:$AK$244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[24]PARAMETERS!$B$121</definedName>
    <definedName name="TR_ADT_BS_FR">[24]PARAMETERS!$B$122</definedName>
    <definedName name="TR_ADT_BS_LB">[24]PARAMETERS!$B$123</definedName>
    <definedName name="TR_ADT_BS_LB_FR">[24]PARAMETERS!$B$124</definedName>
    <definedName name="TR_T_FA">[24]PARAMETERS!$B$115</definedName>
    <definedName name="TR_T_MA">[24]PARAMETERS!$B$113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[24]PARAMETERS!$B$12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[14]Lists!$D$2:$D$29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[24]PARAMETERS!$B$190</definedName>
    <definedName name="vADJUST_INCL">[24]PARAMETERS!$B$188</definedName>
    <definedName name="VALPER_PP">[24]PARAMETERS!$D$182</definedName>
    <definedName name="VALPER_PPP">[24]PARAMETERS!$E$182</definedName>
    <definedName name="VALPER_PPPP">[24]PARAMETERS!$F$182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[24]PARAMETERS!$B$17</definedName>
    <definedName name="versionno">1</definedName>
    <definedName name="vORGNR">[24]PARAMETERS!$B$22</definedName>
    <definedName name="vORSFIL">[24]PARAMETERS!$C$44</definedName>
    <definedName name="vORSFILUSR">[24]PARAMETERS!$B$44</definedName>
    <definedName name="vORSNR">[24]PARAMETERS!$C$43</definedName>
    <definedName name="vORSNRUSR">[24]PARAMETERS!$B$43</definedName>
    <definedName name="vPERNR">[24]PARAMETERS!$B$24</definedName>
    <definedName name="vRATE_AVE">[24]PARAMETERS!$B$127</definedName>
    <definedName name="vRATE_ULT">[24]PARAMETERS!$B$126</definedName>
    <definedName name="vTRANR">[24]PARAMETERS!$B$23</definedName>
    <definedName name="vv">#REF!</definedName>
    <definedName name="vVALNR">[24]PARAMETERS!$C$25</definedName>
    <definedName name="vVALPER">[24]PARAMETERS!$C$47</definedName>
    <definedName name="vVALPERUSR">[24]PARAMETERS!$B$47</definedName>
    <definedName name="vVALTRA">[24]PARAMETERS!$C$46</definedName>
    <definedName name="vVALTRAUSR">[24]PARAMETERS!$B$46</definedName>
    <definedName name="Waehrung_Code">[36]Parameter!$M$58</definedName>
    <definedName name="waluta">'[16]Informacje Ogólne'!$C$9</definedName>
    <definedName name="WalutaSpraw">[33]Wstęp!$CI$107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[36]Parameter!$D$13</definedName>
    <definedName name="WS_Vorjahr">[36]Parameter!$N$51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[24]PARAMETERS!$B$73</definedName>
    <definedName name="YEAR_M1">[24]PARAMETERS!$B$74</definedName>
    <definedName name="YEAR_M10">[24]PARAMETERS!$B$83</definedName>
    <definedName name="YEAR_M11">[24]PARAMETERS!$B$84</definedName>
    <definedName name="YEAR_M12">[24]PARAMETERS!$B$85</definedName>
    <definedName name="YEAR_M13">[24]PARAMETERS!$B$86</definedName>
    <definedName name="YEAR_M14">[24]PARAMETERS!$B$87</definedName>
    <definedName name="YEAR_M2">[24]PARAMETERS!$B$75</definedName>
    <definedName name="YEAR_M3">[24]PARAMETERS!$B$76</definedName>
    <definedName name="YEAR_M4">[24]PARAMETERS!$B$77</definedName>
    <definedName name="YEAR_M5">[24]PARAMETERS!$B$78</definedName>
    <definedName name="YEAR_M6">[24]PARAMETERS!$B$79</definedName>
    <definedName name="YEAR_M7">[24]PARAMETERS!$B$80</definedName>
    <definedName name="YEAR_M8">[24]PARAMETERS!$B$81</definedName>
    <definedName name="YEAR_M9">[24]PARAMETERS!$B$82</definedName>
    <definedName name="YEAR_P1">[24]PARAMETERS!$B$72</definedName>
    <definedName name="YEAR_P2">[24]PARAMETERS!$B$71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'[40]Obroty grupa'!$I$14</definedName>
    <definedName name="z.ee.utalt">'[40]Obroty grupa'!$I$85</definedName>
    <definedName name="z.ee.utapl">'[40]Obroty grupa'!$I$139</definedName>
    <definedName name="z.lt.utade">'[40]Obroty grupa'!$F$14</definedName>
    <definedName name="z.lt.utapl">'[40]Obroty grupa'!$F$139</definedName>
    <definedName name="z.nikosaxde">'[20]OBROTY GRUPA'!$C$122</definedName>
    <definedName name="z.nikosaxpl">'[20]OBROTY GRUPA'!$C$104</definedName>
    <definedName name="z.raz.utade">'[40]Obroty grupa'!$O$14</definedName>
    <definedName name="z.utade">'[20]OBROTY GRUPA'!$C$15</definedName>
    <definedName name="z.utaee">'[20]OBROTY GRUPA'!$C$68</definedName>
    <definedName name="z.utahu">'[20]OBROTY GRUPA'!$C$32</definedName>
    <definedName name="z.utalt">'[20]OBROTY GRUPA'!$C$86</definedName>
    <definedName name="z.utalt.inne">'[20]OBROTY GRUPA'!$C$90</definedName>
    <definedName name="z.utaua">'[20]OBROTY GRUPA'!$C$50</definedName>
    <definedName name="Z_1D89FA16_D8BD_4ECE_8562_49ECD2E7EF3F_.wvu.FilterData" hidden="1">[48]Forecast_PM!#REF!</definedName>
    <definedName name="Z_1EC2965D_2587_433D_BD20_1ED1556726A3_.wvu.FilterData" hidden="1">[48]Forecast_PM!#REF!</definedName>
    <definedName name="Z_2FD1431F_7D3C_47F3_B197_78E01881F217_.wvu.FilterData" hidden="1">[48]Forecast_PM!#REF!</definedName>
    <definedName name="Z_57DBD0C0_4CBA_4996_92D4_EAA5225B76DD_.wvu.FilterData" hidden="1">[48]Forecast_PM!#REF!</definedName>
    <definedName name="Z_5C629547_E941_49EF_A8BE_509929825BAD_.wvu.FilterData" hidden="1">[48]Forecast_PM!#REF!</definedName>
    <definedName name="Z_9987CE93_DEF8_4BB1_AF26_C022D2D1B1AE_.wvu.FilterData" hidden="1">[48]Forecast_PM!#REF!</definedName>
    <definedName name="Z_D1320466_0719_40C0_AAC7_4EF04340A1F7_.wvu.FilterData" hidden="1">[48]Forecast_PM!#REF!</definedName>
    <definedName name="Z_EFD90C49_C8E9_4FAB_935A_68C244308DCA_.wvu.FilterData" hidden="1">[48]Forecast_PM!#REF!</definedName>
    <definedName name="Zapasy_1.7">#REF!</definedName>
    <definedName name="Zip">#REF!</definedName>
    <definedName name="Zmiany_MT">'[49]zmiany MT'!#REF!</definedName>
    <definedName name="ZNadz">[4]DP!$AI$45:$AK$45</definedName>
    <definedName name="zob_1.8">#REF!</definedName>
    <definedName name="zob_dl_1.8">#REF!</definedName>
    <definedName name="ZobD12">[4]DP!$AI$26:$AK$26</definedName>
    <definedName name="ZobDtrm">[4]DP!$AI$22:$AK$22</definedName>
    <definedName name="ZobHandl">[4]DP!$AI$25:$AK$25</definedName>
    <definedName name="ZobKtrm">[4]DP!$AI$24:$AK$24</definedName>
    <definedName name="zxc">[1]D_wstępne!$AX$133</definedName>
    <definedName name="ZyskBTO">[4]DP!$AI$47:$AK$47</definedName>
    <definedName name="ZyskNTO">[4]DP!$AI$50:$AK$50</definedName>
    <definedName name="ZyskSprz">[4]DP!$AI$39:$AK$39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1" l="1"/>
  <c r="F17" i="11"/>
  <c r="D16" i="11"/>
  <c r="D19" i="11" s="1"/>
  <c r="C16" i="11"/>
  <c r="C19" i="11" s="1"/>
  <c r="B16" i="11"/>
  <c r="B19" i="11" s="1"/>
  <c r="F15" i="11"/>
  <c r="C11" i="11"/>
  <c r="C13" i="11" s="1"/>
  <c r="C20" i="11" s="1"/>
  <c r="B11" i="11"/>
  <c r="B13" i="11" s="1"/>
  <c r="C10" i="11"/>
  <c r="B10" i="11"/>
  <c r="F9" i="11"/>
  <c r="F8" i="11"/>
  <c r="D7" i="11"/>
  <c r="D10" i="11" s="1"/>
  <c r="D11" i="11" s="1"/>
  <c r="D13" i="11" s="1"/>
  <c r="C7" i="11"/>
  <c r="B7" i="11"/>
  <c r="F6" i="11"/>
  <c r="F4" i="11"/>
  <c r="C55" i="10"/>
  <c r="B55" i="10"/>
  <c r="C47" i="10"/>
  <c r="B47" i="10"/>
  <c r="C33" i="10"/>
  <c r="B33" i="10"/>
  <c r="B23" i="10"/>
  <c r="B22" i="10"/>
  <c r="C12" i="10"/>
  <c r="B12" i="10"/>
  <c r="D7" i="9"/>
  <c r="C7" i="9"/>
  <c r="D36" i="8"/>
  <c r="D52" i="8" s="1"/>
  <c r="C36" i="8"/>
  <c r="C52" i="8" s="1"/>
  <c r="D29" i="8"/>
  <c r="C28" i="8"/>
  <c r="C29" i="8" s="1"/>
  <c r="C30" i="8" s="1"/>
  <c r="D27" i="8"/>
  <c r="D28" i="8" s="1"/>
  <c r="D30" i="8" s="1"/>
  <c r="C27" i="8"/>
  <c r="D26" i="8"/>
  <c r="D21" i="8"/>
  <c r="C7" i="10" s="1"/>
  <c r="C6" i="10" s="1"/>
  <c r="C21" i="8"/>
  <c r="D8" i="8"/>
  <c r="C8" i="8"/>
  <c r="D5" i="8"/>
  <c r="D11" i="8" s="1"/>
  <c r="C5" i="8"/>
  <c r="C11" i="8" s="1"/>
  <c r="D43" i="7"/>
  <c r="C43" i="7"/>
  <c r="C37" i="7" s="1"/>
  <c r="D38" i="7"/>
  <c r="D37" i="7" s="1"/>
  <c r="C38" i="7"/>
  <c r="D32" i="7"/>
  <c r="C32" i="7"/>
  <c r="D31" i="7"/>
  <c r="C31" i="7"/>
  <c r="D15" i="7"/>
  <c r="C15" i="7"/>
  <c r="C13" i="7"/>
  <c r="C9" i="7"/>
  <c r="D8" i="7"/>
  <c r="D26" i="7" s="1"/>
  <c r="C8" i="7"/>
  <c r="C26" i="7" s="1"/>
  <c r="C16" i="8" l="1"/>
  <c r="C19" i="8" s="1"/>
  <c r="C24" i="8" s="1"/>
  <c r="B20" i="11"/>
  <c r="D53" i="7"/>
  <c r="D16" i="8"/>
  <c r="D19" i="8" s="1"/>
  <c r="D24" i="8" s="1"/>
  <c r="D20" i="11"/>
  <c r="B7" i="10"/>
  <c r="B6" i="10" s="1"/>
  <c r="C53" i="7"/>
  <c r="D42" i="8" l="1"/>
  <c r="D43" i="8" s="1"/>
  <c r="D31" i="8"/>
  <c r="C42" i="8"/>
  <c r="C43" i="8" s="1"/>
  <c r="C31" i="8"/>
  <c r="C5" i="10" l="1"/>
  <c r="C27" i="10" s="1"/>
  <c r="C30" i="10" s="1"/>
  <c r="C56" i="10" s="1"/>
  <c r="C59" i="10" s="1"/>
  <c r="B57" i="10" s="1"/>
  <c r="D38" i="8"/>
  <c r="D37" i="8"/>
  <c r="E5" i="11"/>
  <c r="C38" i="8"/>
  <c r="C37" i="8"/>
  <c r="B5" i="10"/>
  <c r="B27" i="10" s="1"/>
  <c r="B30" i="10" s="1"/>
  <c r="B56" i="10" s="1"/>
  <c r="B59" i="10" s="1"/>
  <c r="E14" i="11"/>
  <c r="C4" i="9" l="1"/>
  <c r="C8" i="9" s="1"/>
  <c r="C45" i="8"/>
  <c r="C46" i="8" s="1"/>
  <c r="E16" i="11"/>
  <c r="F14" i="11"/>
  <c r="E7" i="11"/>
  <c r="F5" i="11"/>
  <c r="D4" i="9"/>
  <c r="D8" i="9" s="1"/>
  <c r="D45" i="8"/>
  <c r="D46" i="8" s="1"/>
  <c r="E19" i="11" l="1"/>
  <c r="F19" i="11" s="1"/>
  <c r="F16" i="11"/>
  <c r="E10" i="11"/>
  <c r="F7" i="11"/>
  <c r="E11" i="11" l="1"/>
  <c r="E13" i="11" s="1"/>
  <c r="F10" i="11"/>
  <c r="F11" i="11" s="1"/>
  <c r="E20" i="11" l="1"/>
  <c r="F13" i="11"/>
  <c r="F20" i="11" s="1"/>
  <c r="F23" i="6" l="1"/>
  <c r="G22" i="6"/>
  <c r="I22" i="6" s="1"/>
  <c r="G21" i="6"/>
  <c r="I21" i="6" s="1"/>
  <c r="I20" i="6"/>
  <c r="G20" i="6"/>
  <c r="I19" i="6"/>
  <c r="F18" i="6"/>
  <c r="E18" i="6"/>
  <c r="E23" i="6" s="1"/>
  <c r="D18" i="6"/>
  <c r="D23" i="6" s="1"/>
  <c r="C18" i="6"/>
  <c r="C23" i="6" s="1"/>
  <c r="B18" i="6"/>
  <c r="B23" i="6" s="1"/>
  <c r="G17" i="6"/>
  <c r="I17" i="6" s="1"/>
  <c r="G16" i="6"/>
  <c r="G18" i="6" s="1"/>
  <c r="E16" i="6"/>
  <c r="H12" i="6"/>
  <c r="H13" i="6" s="1"/>
  <c r="H15" i="6" s="1"/>
  <c r="E12" i="6"/>
  <c r="E13" i="6" s="1"/>
  <c r="E15" i="6" s="1"/>
  <c r="E24" i="6" s="1"/>
  <c r="C12" i="6"/>
  <c r="C13" i="6" s="1"/>
  <c r="C15" i="6" s="1"/>
  <c r="B12" i="6"/>
  <c r="B13" i="6" s="1"/>
  <c r="B15" i="6" s="1"/>
  <c r="G11" i="6"/>
  <c r="I11" i="6" s="1"/>
  <c r="I10" i="6"/>
  <c r="G10" i="6"/>
  <c r="I9" i="6"/>
  <c r="G8" i="6"/>
  <c r="I8" i="6" s="1"/>
  <c r="H7" i="6"/>
  <c r="E7" i="6"/>
  <c r="D7" i="6"/>
  <c r="D12" i="6" s="1"/>
  <c r="D13" i="6" s="1"/>
  <c r="D15" i="6" s="1"/>
  <c r="C7" i="6"/>
  <c r="B7" i="6"/>
  <c r="F6" i="6"/>
  <c r="F7" i="6" s="1"/>
  <c r="F12" i="6" s="1"/>
  <c r="F13" i="6" s="1"/>
  <c r="F15" i="6" s="1"/>
  <c r="F24" i="6" s="1"/>
  <c r="I5" i="6"/>
  <c r="H5" i="6"/>
  <c r="G5" i="6"/>
  <c r="E5" i="6"/>
  <c r="G4" i="6"/>
  <c r="B78" i="5"/>
  <c r="C75" i="5"/>
  <c r="B75" i="5"/>
  <c r="B66" i="5"/>
  <c r="B65" i="5"/>
  <c r="C59" i="5"/>
  <c r="B55" i="5"/>
  <c r="B54" i="5"/>
  <c r="B53" i="5"/>
  <c r="B48" i="5"/>
  <c r="B59" i="5" s="1"/>
  <c r="C41" i="5"/>
  <c r="B41" i="5"/>
  <c r="B33" i="5"/>
  <c r="B32" i="5"/>
  <c r="B30" i="5"/>
  <c r="B29" i="5"/>
  <c r="B28" i="5"/>
  <c r="B26" i="5"/>
  <c r="B24" i="5"/>
  <c r="B23" i="5"/>
  <c r="B21" i="5"/>
  <c r="B19" i="5"/>
  <c r="B16" i="5"/>
  <c r="B11" i="5"/>
  <c r="B9" i="5"/>
  <c r="B36" i="5" s="1"/>
  <c r="C9" i="4"/>
  <c r="D7" i="4"/>
  <c r="C7" i="4"/>
  <c r="C49" i="3"/>
  <c r="D48" i="3"/>
  <c r="D49" i="3" s="1"/>
  <c r="C48" i="3"/>
  <c r="D41" i="3"/>
  <c r="C41" i="3"/>
  <c r="D33" i="3"/>
  <c r="D34" i="3" s="1"/>
  <c r="D51" i="3" s="1"/>
  <c r="D52" i="3" s="1"/>
  <c r="D32" i="3"/>
  <c r="C32" i="3"/>
  <c r="C33" i="3" s="1"/>
  <c r="C27" i="3"/>
  <c r="D25" i="3"/>
  <c r="C7" i="5" s="1"/>
  <c r="C6" i="5" s="1"/>
  <c r="D9" i="3"/>
  <c r="C9" i="3"/>
  <c r="C13" i="3" s="1"/>
  <c r="C18" i="3" s="1"/>
  <c r="C23" i="3" s="1"/>
  <c r="D5" i="3"/>
  <c r="D13" i="3" s="1"/>
  <c r="D18" i="3" s="1"/>
  <c r="D23" i="3" s="1"/>
  <c r="D28" i="3" s="1"/>
  <c r="C5" i="3"/>
  <c r="D69" i="2"/>
  <c r="D57" i="2" s="1"/>
  <c r="C69" i="2"/>
  <c r="B34" i="5" s="1"/>
  <c r="D46" i="2"/>
  <c r="D45" i="2" s="1"/>
  <c r="C46" i="2"/>
  <c r="C44" i="2"/>
  <c r="C40" i="2"/>
  <c r="D36" i="2"/>
  <c r="D35" i="2"/>
  <c r="D34" i="2"/>
  <c r="C34" i="2"/>
  <c r="D19" i="2"/>
  <c r="C19" i="2"/>
  <c r="C16" i="2"/>
  <c r="D12" i="2"/>
  <c r="C12" i="2"/>
  <c r="D9" i="2"/>
  <c r="D30" i="2" s="1"/>
  <c r="C9" i="2"/>
  <c r="C30" i="2" s="1"/>
  <c r="C24" i="6" l="1"/>
  <c r="G23" i="6"/>
  <c r="C34" i="3"/>
  <c r="C51" i="3" s="1"/>
  <c r="C52" i="3" s="1"/>
  <c r="C25" i="3"/>
  <c r="B7" i="5"/>
  <c r="B6" i="5" s="1"/>
  <c r="D71" i="2"/>
  <c r="C28" i="3"/>
  <c r="D37" i="3"/>
  <c r="D36" i="3"/>
  <c r="D24" i="6"/>
  <c r="B24" i="6"/>
  <c r="G15" i="6"/>
  <c r="I4" i="6"/>
  <c r="G6" i="6"/>
  <c r="C36" i="2"/>
  <c r="C57" i="2"/>
  <c r="C45" i="2" s="1"/>
  <c r="C37" i="3" l="1"/>
  <c r="C36" i="3"/>
  <c r="I15" i="6"/>
  <c r="G24" i="6"/>
  <c r="C71" i="2"/>
  <c r="C35" i="2"/>
  <c r="G7" i="6"/>
  <c r="I6" i="6"/>
  <c r="C5" i="5"/>
  <c r="C35" i="5" s="1"/>
  <c r="C38" i="5" s="1"/>
  <c r="C76" i="5" s="1"/>
  <c r="C81" i="5" s="1"/>
  <c r="B77" i="5" s="1"/>
  <c r="D4" i="4"/>
  <c r="D8" i="4" s="1"/>
  <c r="D42" i="3"/>
  <c r="C42" i="3" l="1"/>
  <c r="C44" i="3" s="1"/>
  <c r="B5" i="5"/>
  <c r="B35" i="5" s="1"/>
  <c r="B38" i="5" s="1"/>
  <c r="B76" i="5" s="1"/>
  <c r="B81" i="5" s="1"/>
  <c r="B83" i="5" s="1"/>
  <c r="C4" i="4"/>
  <c r="C8" i="4" s="1"/>
  <c r="G12" i="6"/>
  <c r="I7" i="6"/>
  <c r="I12" i="6" l="1"/>
  <c r="I13" i="6" s="1"/>
  <c r="G13" i="6"/>
  <c r="H16" i="6"/>
  <c r="C10" i="4"/>
  <c r="H18" i="6" l="1"/>
  <c r="I16" i="6"/>
  <c r="H23" i="6" l="1"/>
  <c r="H24" i="6" s="1"/>
  <c r="I18" i="6"/>
  <c r="I23" i="6" s="1"/>
  <c r="I24" i="6" s="1"/>
</calcChain>
</file>

<file path=xl/sharedStrings.xml><?xml version="1.0" encoding="utf-8"?>
<sst xmlns="http://schemas.openxmlformats.org/spreadsheetml/2006/main" count="456" uniqueCount="262">
  <si>
    <t xml:space="preserve">SKONSOLIDOWANE  SPRAWOZDANIE FINANSOWE  GRUPY KAPITAŁOWEJ AILLERON SA 
ZA  2022 ROK ZAKOŃCZONY 31/12/2022
</t>
  </si>
  <si>
    <t>SPORZĄDZONE WEDŁUG
MIĘDZYNARODOWYCH STANDARDÓW SPRAWOZDAWCZOŚCI FINANSOWEJ</t>
  </si>
  <si>
    <t>WSZYSTKIE KWOTY PODANO W TYSIĄCACH ZŁOTYCH POLSKICH (TYS. PLN), O ILE NIE WSKAZANO INACZEJ</t>
  </si>
  <si>
    <t>SKONSOLIDOWANE SPRAWOZDANIE Z SYTUACJI FINANSOWEJ NA DZIEŃ 31.12.2022 ROKU</t>
  </si>
  <si>
    <t>AKTYWA</t>
  </si>
  <si>
    <t>nota</t>
  </si>
  <si>
    <t>tys. PLN</t>
  </si>
  <si>
    <t>Stan na 
31/12/2022</t>
  </si>
  <si>
    <t>Stan na 
31/12/2021 po przekształceniu</t>
  </si>
  <si>
    <t xml:space="preserve">AKTYWA TRWAŁE 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</si>
  <si>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</si>
  <si>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</si>
  <si>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</si>
  <si>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</si>
  <si>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</si>
  <si>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</si>
  <si>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</si>
  <si>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</si>
  <si>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Inne długoterminowe aktywa finansowe</t>
  </si>
  <si>
    <t>AKTYWA OBROTOWE</t>
  </si>
  <si>
    <t>Zapasy</t>
  </si>
  <si>
    <t>Należności z tytułu dostaw i usług</t>
  </si>
  <si>
    <t>Należności krótkoterminowe pozostałe</t>
  </si>
  <si>
    <t>Aktywa kontraktowe</t>
  </si>
  <si>
    <t>6, 21</t>
  </si>
  <si>
    <t>Należności z tytułu bieżącego podatku dochodowego</t>
  </si>
  <si>
    <t>Należności z tytułu innych podatków niż podatek dochodowy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</si>
  <si>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</si>
  <si>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</si>
  <si>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</si>
  <si>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</si>
  <si>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NA DZIEŃ 31.12.2022 ROKU -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</si>
  <si>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</si>
  <si>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</si>
  <si>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</si>
  <si>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</si>
  <si>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</si>
  <si>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</si>
  <si>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</si>
  <si>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Wynik wycen odnoszonych bezpośrednio poprzez kapitał własny</t>
  </si>
  <si>
    <t xml:space="preserve">Kwoty ujęte bezpośrednio w kapitale, związane z aktywami klasyfikowanymi jako przeznaczone do zbycia, 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</si>
  <si>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</si>
  <si>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</si>
  <si>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</si>
  <si>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</si>
  <si>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 xml:space="preserve">Długoterminowe zobowiązania z tyt. obligacji  </t>
  </si>
  <si>
    <t>Długoterminowe zobowiązania leasingowe</t>
  </si>
  <si>
    <t>25</t>
  </si>
  <si>
    <t>Długoterminowe zobowiązania finansowe z tyt. kredytów</t>
  </si>
  <si>
    <t>Pozostałe zobowiązania długoterminowe</t>
  </si>
  <si>
    <t>Rezerwa na świadczenia emerytalne i podobne</t>
  </si>
  <si>
    <t>Inne rezerwy długoterminowe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</si>
  <si>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</si>
  <si>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</si>
  <si>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</si>
  <si>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</si>
  <si>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</si>
  <si>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 xml:space="preserve">Zobowiązania z tytułu dostaw i usług </t>
  </si>
  <si>
    <t>Zobowiązania kontraktowe</t>
  </si>
  <si>
    <t>Krótkoterminowe zobowiązania z tyt. otrzymanych kredytów</t>
  </si>
  <si>
    <t>Krótkoterminowe zobowiązania z tyt. Obligacji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</si>
  <si>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</si>
  <si>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</si>
  <si>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</si>
  <si>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</si>
  <si>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Rezerwy na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</si>
  <si>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</si>
  <si>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</si>
  <si>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</si>
  <si>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</si>
  <si>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SKONSOLIDOWANY RACHUNEK ZYSKÓW I STRAT ZA OKRES 01.01.2022 - 31.12.2022</t>
  </si>
  <si>
    <t>SKONSOLIDOWANY RACHUNEK ZYSKÓW I STRAT                                          (Wariant kalkulacyjny)</t>
  </si>
  <si>
    <t>tys.PLN</t>
  </si>
  <si>
    <t>Okres 
zakończony 
31/12/2022</t>
  </si>
  <si>
    <t>Okres 
zakończony 31/12/2021</t>
  </si>
  <si>
    <t>Działalność kontynuowana</t>
  </si>
  <si>
    <t>PRZYCHODY ZE SPRZEDAŻY</t>
  </si>
  <si>
    <t>5, 6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</si>
  <si>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</si>
  <si>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</si>
  <si>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</si>
  <si>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</si>
  <si>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</si>
  <si>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</si>
  <si>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</si>
  <si>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</si>
  <si>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</si>
  <si>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</si>
  <si>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</si>
  <si>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</si>
  <si>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</si>
  <si>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</si>
  <si>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</si>
  <si>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</si>
  <si>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</si>
  <si>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</si>
  <si>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</si>
  <si>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</si>
  <si>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</si>
  <si>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</si>
  <si>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</si>
  <si>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Przychody ze sprzedaży</t>
  </si>
  <si>
    <t>Koszty operacyjne ogółem</t>
  </si>
  <si>
    <t>Zysk (strata) z działalności operacyjnej</t>
  </si>
  <si>
    <t>Zysk (strata) netto z działalności zaniechanej</t>
  </si>
  <si>
    <t>Całkowite dochody ogółem</t>
  </si>
  <si>
    <t>ZYSK (STRATA) NETTO</t>
  </si>
  <si>
    <t>SKONSOLIDOWANY RACHUNEK ZYSKÓW I STRAT ZA OKRES 01.01.2022 - 31.12.2022 - [C.D.]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</si>
  <si>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</si>
  <si>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</si>
  <si>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</si>
  <si>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</si>
  <si>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</si>
  <si>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</si>
  <si>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</si>
  <si>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</si>
  <si>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zaniechanej:</t>
  </si>
  <si>
    <t>SKONSOLIDOWANE SPRAWOZDANIE Z CAŁKOWITYCH DOCHODÓW 
ZA OKRES 01.01.2022 - 31.12.2022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</si>
  <si>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</si>
  <si>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</si>
  <si>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</si>
  <si>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</si>
  <si>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</si>
  <si>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</si>
  <si>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SKONSOLIDOWANE SPRAWOZDANIE Z PRZEPŁYWÓW PIENIĘŻNYCH 
ZA OKRES OD 1 STYCZNIA 2022 DO 31 GRUDNIA 2022 [METODA POŚREDNIA]</t>
  </si>
  <si>
    <t>Okres 
zakończony 31/12/2022</t>
  </si>
  <si>
    <t>Przepływy pieniężne z działalności operacyjnej</t>
  </si>
  <si>
    <t>Zysk za rok obrotowy</t>
  </si>
  <si>
    <t>Korekty:</t>
  </si>
  <si>
    <t>Koszt podatku dochodowego ujęty w wyniku</t>
  </si>
  <si>
    <t>Udział w zysku jednostek stowarzyszonych</t>
  </si>
  <si>
    <t>Koszty finansowe ujęte w wyniku</t>
  </si>
  <si>
    <t>Przychody z inwestycji ujęte w wyniku</t>
  </si>
  <si>
    <t>Zysk/Strata ze zbycia/zmiany przeznaczenia składników rzeczowych aktywów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</si>
  <si>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</si>
  <si>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</si>
  <si>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</si>
  <si>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</si>
  <si>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 xml:space="preserve">(Zysk) / strata netto z wyceny aktywów finansowych wycenianych w skorygowanej cenie nabycia   </t>
  </si>
  <si>
    <t>Zysk/strata z tytułu zwrotu wartości inwestycji długoterminowych</t>
  </si>
  <si>
    <t>Zysk/Strata z tytułu odwrócenia odpisu/utraty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</si>
  <si>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</si>
  <si>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</si>
  <si>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</si>
  <si>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</si>
  <si>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Pozostałe zmiany</t>
  </si>
  <si>
    <t>Korekta z tyt. progarmu motywacyjnego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</si>
  <si>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</si>
  <si>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</si>
  <si>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</si>
  <si>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</si>
  <si>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</si>
  <si>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</si>
  <si>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</si>
  <si>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</si>
  <si>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</si>
  <si>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</si>
  <si>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</si>
  <si>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</si>
  <si>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</si>
  <si>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1 STYCZNIA 2022 DO 31 GRUDNIA 2022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</si>
  <si>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</si>
  <si>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</si>
  <si>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</si>
  <si>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</si>
  <si>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</si>
  <si>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</si>
  <si>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</si>
  <si>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</si>
  <si>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</si>
  <si>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</si>
  <si>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</si>
  <si>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</si>
  <si>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</si>
  <si>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</si>
  <si>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</si>
  <si>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</si>
  <si>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</si>
  <si>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</si>
  <si>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Transakcja z udziałowcami niekontrolującymi</t>
  </si>
  <si>
    <t xml:space="preserve">Płatności z tytułu kosztów emisji akcji </t>
  </si>
  <si>
    <t>Spłata odsetek od obligacji</t>
  </si>
  <si>
    <t>Spłata rat kredytowych</t>
  </si>
  <si>
    <t>Spłata odsetek od kredytu</t>
  </si>
  <si>
    <t>Płatności z tytułu wykupu obligacji</t>
  </si>
  <si>
    <t>Spłata pożyczki</t>
  </si>
  <si>
    <t xml:space="preserve">Zaciągnięcie kredytu </t>
  </si>
  <si>
    <t>Wpływy z pożyczek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</si>
  <si>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</si>
  <si>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</si>
  <si>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</si>
  <si>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</si>
  <si>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</si>
  <si>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</si>
  <si>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</si>
  <si>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</si>
  <si>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</si>
  <si>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</si>
  <si>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SKONSOLIDOWANE SPRAWOZDANIE ZE ZMIAN W KAPITALE WŁASNYM ZA OKRES SPRAWOZDAWCZY KOŃCZĄCY SIĘ 
31 GRUDNIA 2022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</si>
  <si>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</si>
  <si>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</si>
  <si>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</si>
  <si>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</si>
  <si>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</si>
  <si>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2021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</si>
  <si>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</si>
  <si>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</si>
  <si>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</si>
  <si>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</si>
  <si>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Nabycie jednostki zależnej</t>
  </si>
  <si>
    <t>Kapitał rezerwowy na program opcyjny</t>
  </si>
  <si>
    <t>Wypłata dywidendy</t>
  </si>
  <si>
    <t>Zmiana kapitałów własnych</t>
  </si>
  <si>
    <t>Stan na 31 grudnia  2021 roku</t>
  </si>
  <si>
    <t>Stan na 1 stycznia 2022 roku</t>
  </si>
  <si>
    <t>Przejęcie jednostek gospodarczych</t>
  </si>
  <si>
    <t>Stan na 31 grudnia  2022 roku</t>
  </si>
  <si>
    <t xml:space="preserve">JEDNOSTKOWE  SPRAWOZDANIE FINANSOWE  AILLERON SA 
ZA  2022 ROK ZAKOŃCZONY 31/12/2022
</t>
  </si>
  <si>
    <t>JEDNOSTKOWE SPRAWOZDANIE Z SYTUACJI FINANSOWEJ 
NA DZIEŃ 31.12.2022 ROKU</t>
  </si>
  <si>
    <t>Stan na 31/12/2022</t>
  </si>
  <si>
    <t>Stan na 31/12/2021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</si>
  <si>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</si>
  <si>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</si>
  <si>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</si>
  <si>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Grupa aktywów przeznaczonych do zbycia</t>
  </si>
  <si>
    <t>JEDNOSTKOWE SPRAWOZDANIE Z SYTUACJI FINANSOWEJ 
NA DZIEŃ 31.12.2022 ROKU -C.D.</t>
  </si>
  <si>
    <t>27</t>
  </si>
  <si>
    <t>Zobowiązania związane z grupą aktywów przeznaczonych do zbycia</t>
  </si>
  <si>
    <t>JEDNOSTKOWY RACHUNEK ZYSKÓW I STRAT  ZA OKRES 01.01.2022 - 31.12.2022</t>
  </si>
  <si>
    <t>JEDNOSTKOWY RACHUNEK ZYSKÓW I STRAT                                          (Wariant kalkulacyjny)</t>
  </si>
  <si>
    <t>Okres zakończony 31/12/2022</t>
  </si>
  <si>
    <t>Okres zakończony 31/12/2021</t>
  </si>
  <si>
    <t>ZYSK (STRATA) NETTO RAZEM</t>
  </si>
  <si>
    <t>JEDNOSTKOWY RACHUNEK ZYSKÓW I STRAT  ZA OKRES 01.01.2022 - 31.12.2022 - C.D.</t>
  </si>
  <si>
    <t>Zysk (strata) netto:</t>
  </si>
  <si>
    <t>Akcjonariuszom podmiotu dominującego</t>
  </si>
  <si>
    <t>z działalności kontynuowanej i zaniechanej:</t>
  </si>
  <si>
    <t>JEDNOSTKOWE SPRAWOZDANIE Z CAŁKOWITYCH DOCHODÓW  ZA OKRES 01.01.2021 - 31.12.2021</t>
  </si>
  <si>
    <t xml:space="preserve">JEDNOSTKOWE SPRAWOZDANIE Z CAŁKOWITYCH DOCHODÓW </t>
  </si>
  <si>
    <t>JEDNOSTKOWE SPRAWOZDANIE Z CAŁKOWITYCH DOCHODÓW 
ZA OKRES 01.01.2022 - 31.12.2022</t>
  </si>
  <si>
    <t>JEDNOSTKOWE SPRAWOZDANIE Z CAŁKOWITYCH DOCHODÓW</t>
  </si>
  <si>
    <t>JEDNOSTKOWE SPRAWOZDANIE Z PRZEPŁYWÓW PIENIĘŻNYCH 
ZA OKRES OD 1 STYCZNIA 2022 DO 31 GRUDNIA 2022 
[METODA POŚREDNIA]</t>
  </si>
  <si>
    <t>Zmiany w kapitale obrotowym:</t>
  </si>
  <si>
    <t>Korekta z tyt. programu motywacyjnego</t>
  </si>
  <si>
    <t>Zapłacone odsetki</t>
  </si>
  <si>
    <t>JEDNOSTKOWE SPRAWOZDANIE Z PRZEPŁYWÓW PIENIĘŻNYCH 
ZA OKRES OD 1 STYCZNIA 2022 DO 31 GRUDNIA 2022 
[METODA POŚREDNIA] - C.D</t>
  </si>
  <si>
    <t>Wpływy ze sprzedaży aktywów finansowych</t>
  </si>
  <si>
    <t>Spłata należności leasingowych</t>
  </si>
  <si>
    <t>Odsetki otrzymane od subleasingu</t>
  </si>
  <si>
    <t>Spłata pożyczek wraz z odsetkami od jednostek pozostałych</t>
  </si>
  <si>
    <t>Płatności za  aktywa niematerialne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</si>
  <si>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</si>
  <si>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</si>
  <si>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</si>
  <si>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rat kredytowych i pożyczek</t>
  </si>
  <si>
    <t>Spłata odsetek od pożyczek otrzymanych od jednostek zależnych</t>
  </si>
  <si>
    <t>Zaciągnięcie kredytu długoterminowego</t>
  </si>
  <si>
    <t>Zmiana stanu innych środków pieniężnych</t>
  </si>
  <si>
    <t>JEDNOSTKOWE SPRAWOZDANIE ZE ZMIAN W KAPITALE WŁASNYM 
ZA OKRES SPRAWOZDAWCZY KOŃCZĄCY SIĘ 31 GRUDNIA 2022 ROKU</t>
  </si>
  <si>
    <t>Stan na 1 stycznia 2021 roku</t>
  </si>
  <si>
    <t xml:space="preserve"> -   </t>
  </si>
  <si>
    <t>Stan na 31 grudnia 2021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</si>
</sst>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&quot;  &quot;;\-\ #,###,&quot;  &quot;;_-* &quot;- &quot;\ _-;_-@_-"/>
    <numFmt numFmtId="165" formatCode="\-"/>
    <numFmt numFmtId="166" formatCode="_-* #,##0.00\ _z_ł_-;\-* #,##0.00\ _z_ł_-;_-* &quot;-&quot;??\ _z_ł_-;_-@_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EF0606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b/>
      <sz val="8"/>
      <color rgb="FFEF0606"/>
      <name val="Montserrat Regular"/>
      <charset val="238"/>
    </font>
    <font>
      <sz val="8"/>
      <color rgb="FFE73E2A"/>
      <name val="Lato Light"/>
      <family val="2"/>
      <charset val="238"/>
    </font>
    <font>
      <b/>
      <sz val="7"/>
      <color rgb="FFEF0606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7"/>
      <color rgb="FFE73E2A"/>
      <name val="Montserrat Regular"/>
      <charset val="238"/>
    </font>
    <font>
      <sz val="11"/>
      <color rgb="FFE73E2A"/>
      <name val="Montserrat Regular"/>
      <charset val="238"/>
    </font>
    <font>
      <sz val="9"/>
      <color theme="1"/>
      <name val="Montserrat Regular"/>
      <charset val="238"/>
    </font>
    <font>
      <sz val="9"/>
      <name val="Montserrat Regular"/>
      <charset val="238"/>
    </font>
    <font>
      <sz val="11"/>
      <color rgb="FFFFFF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2"/>
      <color theme="8" tint="-0.249977111117893"/>
      <name val="Calibri"/>
      <family val="2"/>
      <charset val="238"/>
      <scheme val="minor"/>
    </font>
    <font>
      <sz val="9"/>
      <color rgb="FFEF0606"/>
      <name val="Montserrat Regular"/>
      <charset val="238"/>
    </font>
    <font>
      <sz val="9"/>
      <color rgb="FFE73E2A"/>
      <name val="Montserrat Regular"/>
      <charset val="238"/>
    </font>
    <font>
      <b/>
      <sz val="9"/>
      <color theme="0"/>
      <name val="Montserrat Regular"/>
      <charset val="238"/>
    </font>
    <font>
      <sz val="10"/>
      <name val="Montserrat Regular"/>
      <charset val="238"/>
    </font>
    <font>
      <sz val="11"/>
      <color theme="1"/>
      <name val="Montserrat Regular"/>
      <charset val="238"/>
    </font>
    <font>
      <sz val="10"/>
      <color theme="1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10"/>
      <color rgb="FFE73E2A"/>
      <name val="Montserrat Regular"/>
      <charset val="238"/>
    </font>
    <font>
      <sz val="8.5"/>
      <color rgb="FFE73E2A"/>
      <name val="Montserrat Regular"/>
      <charset val="238"/>
    </font>
    <font>
      <sz val="8"/>
      <color theme="1"/>
      <name val="Montserrat Regular"/>
      <charset val="238"/>
    </font>
    <font>
      <sz val="8.5"/>
      <color theme="1"/>
      <name val="Montserrat Regular"/>
      <charset val="238"/>
    </font>
    <font>
      <sz val="8.5"/>
      <name val="Montserrat Regular"/>
      <charset val="238"/>
    </font>
    <font>
      <sz val="8.5"/>
      <color rgb="FF0D0D0D"/>
      <name val="Montserrat Regular"/>
      <charset val="238"/>
    </font>
    <font>
      <sz val="8.5"/>
      <color theme="1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0"/>
      <color theme="1"/>
      <name val="Lato Light"/>
      <family val="2"/>
      <charset val="238"/>
    </font>
    <font>
      <sz val="10"/>
      <color theme="1"/>
      <name val="Tahoma"/>
      <family val="2"/>
      <charset val="238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rgb="FFFFFF00"/>
      <name val="Lato Light"/>
      <family val="2"/>
    </font>
    <font>
      <sz val="8.5"/>
      <color theme="1"/>
      <name val="Lato Light"/>
      <family val="2"/>
    </font>
    <font>
      <sz val="12"/>
      <color theme="1"/>
      <name val="Lato Light"/>
      <family val="2"/>
    </font>
    <font>
      <b/>
      <sz val="11"/>
      <color theme="8" tint="-0.249977111117893"/>
      <name val="Calibri"/>
      <family val="2"/>
      <charset val="238"/>
      <scheme val="minor"/>
    </font>
    <font>
      <sz val="9"/>
      <color theme="0"/>
      <name val="Montserrat Regular"/>
      <charset val="238"/>
    </font>
    <font>
      <sz val="11"/>
      <name val="Calibri"/>
      <family val="2"/>
      <scheme val="minor"/>
    </font>
    <font>
      <sz val="8.5"/>
      <color rgb="FFEF0606"/>
      <name val="Montserrat Regular"/>
      <charset val="238"/>
    </font>
    <font>
      <sz val="8.5"/>
      <color rgb="FFFF0000"/>
      <name val="Montserrat Regular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11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name val="Lato Light"/>
      <family val="2"/>
      <charset val="238"/>
    </font>
    <font>
      <sz val="9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3E2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/>
      <top/>
      <bottom style="thin">
        <color rgb="FFEF0606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 style="thin">
        <color rgb="FFEF0606"/>
      </left>
      <right/>
      <top style="thin">
        <color rgb="FFEF0606"/>
      </top>
      <bottom style="thin">
        <color rgb="FFE73E2A"/>
      </bottom>
      <diagonal/>
    </border>
    <border>
      <left/>
      <right style="thin">
        <color rgb="FFEF0606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F0606"/>
      </top>
      <bottom/>
      <diagonal/>
    </border>
    <border>
      <left style="thin">
        <color rgb="FFE73E2A"/>
      </left>
      <right/>
      <top style="thin">
        <color rgb="FFEF0606"/>
      </top>
      <bottom/>
      <diagonal/>
    </border>
    <border>
      <left/>
      <right style="thin">
        <color rgb="FFE73E2A"/>
      </right>
      <top/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 style="thin">
        <color rgb="FFE73E2A"/>
      </top>
      <bottom style="thin">
        <color rgb="FFEF0606"/>
      </bottom>
      <diagonal/>
    </border>
    <border>
      <left style="thin">
        <color rgb="FFEF0606"/>
      </left>
      <right/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 style="thin">
        <color rgb="FFEF0606"/>
      </top>
      <bottom style="thin">
        <color rgb="FFEF0606"/>
      </bottom>
      <diagonal/>
    </border>
    <border>
      <left style="thin">
        <color rgb="FFE73E2A"/>
      </left>
      <right/>
      <top style="thin">
        <color rgb="FFEF0606"/>
      </top>
      <bottom style="thin">
        <color rgb="FFE73E2A"/>
      </bottom>
      <diagonal/>
    </border>
    <border>
      <left style="thin">
        <color rgb="FFEF0606"/>
      </left>
      <right/>
      <top style="thin">
        <color rgb="FFE73E2A"/>
      </top>
      <bottom/>
      <diagonal/>
    </border>
    <border>
      <left/>
      <right style="thin">
        <color rgb="FFE73E2A"/>
      </right>
      <top style="thin">
        <color rgb="FFEF0606"/>
      </top>
      <bottom style="thin">
        <color rgb="FFEF0606"/>
      </bottom>
      <diagonal/>
    </border>
    <border>
      <left style="thin">
        <color indexed="64"/>
      </left>
      <right/>
      <top style="thin">
        <color rgb="FFE73E2A"/>
      </top>
      <bottom style="thin">
        <color rgb="FFEF0606"/>
      </bottom>
      <diagonal/>
    </border>
  </borders>
  <cellStyleXfs count="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42" fillId="0" borderId="0"/>
    <xf numFmtId="0" fontId="45" fillId="0" borderId="0"/>
  </cellStyleXfs>
  <cellXfs count="427">
    <xf numFmtId="0" fontId="0" fillId="0" borderId="0" xfId="0"/>
    <xf numFmtId="0" fontId="4" fillId="2" borderId="0" xfId="1" applyFont="1" applyFill="1" applyAlignment="1">
      <alignment vertical="top"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5" fillId="0" borderId="0" xfId="1" applyFont="1"/>
    <xf numFmtId="0" fontId="7" fillId="2" borderId="0" xfId="1" applyFont="1" applyFill="1" applyAlignment="1">
      <alignment horizontal="center" vertical="top" wrapText="1"/>
    </xf>
    <xf numFmtId="0" fontId="1" fillId="0" borderId="0" xfId="1"/>
    <xf numFmtId="0" fontId="10" fillId="0" borderId="3" xfId="1" applyFont="1" applyBorder="1" applyAlignment="1">
      <alignment horizontal="right" vertical="center" wrapText="1"/>
    </xf>
    <xf numFmtId="0" fontId="11" fillId="4" borderId="3" xfId="1" applyFont="1" applyFill="1" applyBorder="1" applyAlignment="1">
      <alignment horizontal="left" vertical="center"/>
    </xf>
    <xf numFmtId="0" fontId="11" fillId="4" borderId="3" xfId="1" applyFont="1" applyFill="1" applyBorder="1" applyAlignment="1">
      <alignment horizontal="right" vertical="center"/>
    </xf>
    <xf numFmtId="0" fontId="12" fillId="0" borderId="3" xfId="1" applyFont="1" applyBorder="1" applyAlignment="1">
      <alignment horizontal="right" vertical="center" wrapText="1"/>
    </xf>
    <xf numFmtId="0" fontId="13" fillId="4" borderId="3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horizontal="right" vertical="center"/>
    </xf>
    <xf numFmtId="164" fontId="13" fillId="0" borderId="3" xfId="1" applyNumberFormat="1" applyFont="1" applyBorder="1" applyAlignment="1">
      <alignment horizontal="right" vertical="center" wrapText="1"/>
    </xf>
    <xf numFmtId="0" fontId="13" fillId="4" borderId="0" xfId="1" applyFont="1" applyFill="1" applyAlignment="1">
      <alignment horizontal="left" vertical="center"/>
    </xf>
    <xf numFmtId="0" fontId="14" fillId="4" borderId="0" xfId="1" applyFont="1" applyFill="1" applyAlignment="1">
      <alignment horizontal="right" vertical="center" wrapText="1"/>
    </xf>
    <xf numFmtId="164" fontId="13" fillId="0" borderId="0" xfId="1" applyNumberFormat="1" applyFont="1" applyAlignment="1">
      <alignment horizontal="right" vertical="center" wrapText="1"/>
    </xf>
    <xf numFmtId="0" fontId="13" fillId="4" borderId="0" xfId="1" applyFont="1" applyFill="1" applyAlignment="1">
      <alignment horizontal="right" vertical="center" wrapText="1"/>
    </xf>
    <xf numFmtId="0" fontId="15" fillId="0" borderId="0" xfId="1" applyFont="1"/>
    <xf numFmtId="0" fontId="13" fillId="6" borderId="0" xfId="1" applyFont="1" applyFill="1" applyAlignment="1">
      <alignment horizontal="left" vertical="center"/>
    </xf>
    <xf numFmtId="0" fontId="13" fillId="6" borderId="0" xfId="1" applyFont="1" applyFill="1" applyAlignment="1">
      <alignment horizontal="right" vertical="center" wrapText="1"/>
    </xf>
    <xf numFmtId="164" fontId="13" fillId="5" borderId="0" xfId="1" applyNumberFormat="1" applyFont="1" applyFill="1" applyAlignment="1">
      <alignment horizontal="right" vertical="center" wrapText="1"/>
    </xf>
    <xf numFmtId="0" fontId="13" fillId="6" borderId="0" xfId="1" applyFont="1" applyFill="1" applyAlignment="1">
      <alignment horizontal="right" vertical="center"/>
    </xf>
    <xf numFmtId="164" fontId="13" fillId="5" borderId="0" xfId="1" applyNumberFormat="1" applyFont="1" applyFill="1" applyAlignment="1">
      <alignment vertical="center"/>
    </xf>
    <xf numFmtId="164" fontId="1" fillId="0" borderId="0" xfId="1" applyNumberFormat="1"/>
    <xf numFmtId="0" fontId="13" fillId="4" borderId="0" xfId="1" applyFont="1" applyFill="1" applyAlignment="1">
      <alignment horizontal="right" vertical="center"/>
    </xf>
    <xf numFmtId="164" fontId="13" fillId="5" borderId="3" xfId="1" applyNumberFormat="1" applyFont="1" applyFill="1" applyBorder="1" applyAlignment="1">
      <alignment horizontal="right" vertical="center" wrapText="1"/>
    </xf>
    <xf numFmtId="0" fontId="16" fillId="0" borderId="0" xfId="1" applyFont="1"/>
    <xf numFmtId="0" fontId="17" fillId="0" borderId="0" xfId="1" applyFont="1"/>
    <xf numFmtId="0" fontId="18" fillId="4" borderId="3" xfId="1" applyFont="1" applyFill="1" applyBorder="1" applyAlignment="1">
      <alignment horizontal="left" vertical="center"/>
    </xf>
    <xf numFmtId="0" fontId="18" fillId="4" borderId="3" xfId="1" applyFont="1" applyFill="1" applyBorder="1" applyAlignment="1">
      <alignment horizontal="right" vertical="center"/>
    </xf>
    <xf numFmtId="164" fontId="18" fillId="5" borderId="3" xfId="1" applyNumberFormat="1" applyFont="1" applyFill="1" applyBorder="1" applyAlignment="1">
      <alignment horizontal="right" vertical="center" wrapText="1"/>
    </xf>
    <xf numFmtId="0" fontId="19" fillId="5" borderId="0" xfId="1" applyFont="1" applyFill="1" applyAlignment="1">
      <alignment horizontal="left" vertical="center"/>
    </xf>
    <xf numFmtId="0" fontId="19" fillId="5" borderId="0" xfId="1" applyFont="1" applyFill="1" applyAlignment="1">
      <alignment horizontal="right" vertical="center"/>
    </xf>
    <xf numFmtId="0" fontId="19" fillId="5" borderId="0" xfId="1" applyFont="1" applyFill="1" applyAlignment="1">
      <alignment horizontal="right" vertical="center" wrapText="1"/>
    </xf>
    <xf numFmtId="0" fontId="9" fillId="3" borderId="0" xfId="1" applyFont="1" applyFill="1" applyAlignment="1">
      <alignment horizontal="left" vertical="center"/>
    </xf>
    <xf numFmtId="0" fontId="20" fillId="3" borderId="0" xfId="1" applyFont="1" applyFill="1" applyAlignment="1">
      <alignment horizontal="right" vertical="center"/>
    </xf>
    <xf numFmtId="0" fontId="20" fillId="3" borderId="0" xfId="1" applyFont="1" applyFill="1" applyAlignment="1">
      <alignment horizontal="right" vertical="center" wrapText="1"/>
    </xf>
    <xf numFmtId="0" fontId="10" fillId="2" borderId="3" xfId="1" applyFont="1" applyFill="1" applyBorder="1" applyAlignment="1">
      <alignment horizontal="right" vertical="center" wrapText="1"/>
    </xf>
    <xf numFmtId="0" fontId="14" fillId="6" borderId="3" xfId="1" applyFont="1" applyFill="1" applyBorder="1" applyAlignment="1">
      <alignment horizontal="left" vertical="center"/>
    </xf>
    <xf numFmtId="0" fontId="14" fillId="6" borderId="3" xfId="1" applyFont="1" applyFill="1" applyBorder="1" applyAlignment="1">
      <alignment horizontal="right" vertical="center"/>
    </xf>
    <xf numFmtId="10" fontId="1" fillId="0" borderId="0" xfId="1" applyNumberFormat="1"/>
    <xf numFmtId="0" fontId="14" fillId="6" borderId="0" xfId="1" applyFont="1" applyFill="1" applyAlignment="1">
      <alignment horizontal="left" vertical="center"/>
    </xf>
    <xf numFmtId="0" fontId="14" fillId="6" borderId="0" xfId="1" applyFont="1" applyFill="1" applyAlignment="1">
      <alignment horizontal="right" vertical="center"/>
    </xf>
    <xf numFmtId="0" fontId="14" fillId="6" borderId="0" xfId="1" applyFont="1" applyFill="1" applyAlignment="1">
      <alignment horizontal="left" vertical="center" wrapText="1"/>
    </xf>
    <xf numFmtId="0" fontId="21" fillId="6" borderId="2" xfId="1" applyFont="1" applyFill="1" applyBorder="1" applyAlignment="1">
      <alignment horizontal="left" vertical="center"/>
    </xf>
    <xf numFmtId="0" fontId="21" fillId="6" borderId="2" xfId="1" applyFont="1" applyFill="1" applyBorder="1" applyAlignment="1">
      <alignment horizontal="right" vertical="center"/>
    </xf>
    <xf numFmtId="164" fontId="13" fillId="0" borderId="2" xfId="1" applyNumberFormat="1" applyFont="1" applyBorder="1" applyAlignment="1">
      <alignment horizontal="right" vertical="center" wrapText="1"/>
    </xf>
    <xf numFmtId="164" fontId="13" fillId="5" borderId="2" xfId="1" applyNumberFormat="1" applyFont="1" applyFill="1" applyBorder="1" applyAlignment="1">
      <alignment horizontal="right" vertical="center" wrapText="1"/>
    </xf>
    <xf numFmtId="0" fontId="21" fillId="6" borderId="0" xfId="1" applyFont="1" applyFill="1" applyAlignment="1">
      <alignment horizontal="right" vertical="center"/>
    </xf>
    <xf numFmtId="49" fontId="14" fillId="6" borderId="0" xfId="1" applyNumberFormat="1" applyFont="1" applyFill="1" applyAlignment="1">
      <alignment horizontal="right" vertical="center"/>
    </xf>
    <xf numFmtId="164" fontId="13" fillId="0" borderId="0" xfId="1" applyNumberFormat="1" applyFont="1" applyAlignment="1">
      <alignment horizontal="center" vertical="center"/>
    </xf>
    <xf numFmtId="0" fontId="14" fillId="4" borderId="0" xfId="1" applyFont="1" applyFill="1" applyAlignment="1">
      <alignment horizontal="left" vertical="center"/>
    </xf>
    <xf numFmtId="0" fontId="14" fillId="4" borderId="0" xfId="1" applyFont="1" applyFill="1" applyAlignment="1">
      <alignment horizontal="right" vertical="center"/>
    </xf>
    <xf numFmtId="165" fontId="13" fillId="5" borderId="0" xfId="1" applyNumberFormat="1" applyFont="1" applyFill="1" applyAlignment="1">
      <alignment horizontal="right" vertical="center" wrapText="1"/>
    </xf>
    <xf numFmtId="0" fontId="21" fillId="4" borderId="3" xfId="1" applyFont="1" applyFill="1" applyBorder="1" applyAlignment="1">
      <alignment horizontal="left" vertical="center"/>
    </xf>
    <xf numFmtId="0" fontId="21" fillId="4" borderId="3" xfId="1" applyFont="1" applyFill="1" applyBorder="1" applyAlignment="1">
      <alignment horizontal="right" vertical="center"/>
    </xf>
    <xf numFmtId="49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left" vertical="center" wrapText="1"/>
    </xf>
    <xf numFmtId="165" fontId="13" fillId="0" borderId="0" xfId="1" applyNumberFormat="1" applyFont="1" applyAlignment="1">
      <alignment horizontal="right" vertical="center" wrapText="1"/>
    </xf>
    <xf numFmtId="164" fontId="18" fillId="0" borderId="3" xfId="1" applyNumberFormat="1" applyFont="1" applyBorder="1" applyAlignment="1">
      <alignment horizontal="right" vertical="center" wrapText="1"/>
    </xf>
    <xf numFmtId="0" fontId="22" fillId="0" borderId="0" xfId="1" applyFont="1"/>
    <xf numFmtId="0" fontId="22" fillId="0" borderId="0" xfId="1" applyFont="1" applyAlignment="1">
      <alignment horizontal="right"/>
    </xf>
    <xf numFmtId="0" fontId="23" fillId="2" borderId="0" xfId="1" applyFont="1" applyFill="1"/>
    <xf numFmtId="0" fontId="1" fillId="0" borderId="0" xfId="1" applyAlignment="1">
      <alignment horizontal="right"/>
    </xf>
    <xf numFmtId="2" fontId="1" fillId="0" borderId="0" xfId="1" applyNumberFormat="1"/>
    <xf numFmtId="0" fontId="24" fillId="0" borderId="0" xfId="1" applyFont="1"/>
    <xf numFmtId="0" fontId="18" fillId="2" borderId="7" xfId="1" applyFont="1" applyFill="1" applyBorder="1" applyAlignment="1">
      <alignment horizontal="right" vertical="center" wrapText="1"/>
    </xf>
    <xf numFmtId="0" fontId="18" fillId="2" borderId="4" xfId="1" applyFont="1" applyFill="1" applyBorder="1" applyAlignment="1">
      <alignment horizontal="right" vertical="center" wrapText="1"/>
    </xf>
    <xf numFmtId="0" fontId="26" fillId="4" borderId="2" xfId="1" applyFont="1" applyFill="1" applyBorder="1" applyAlignment="1">
      <alignment horizontal="justify" vertical="center"/>
    </xf>
    <xf numFmtId="164" fontId="26" fillId="5" borderId="2" xfId="1" applyNumberFormat="1" applyFont="1" applyFill="1" applyBorder="1" applyAlignment="1">
      <alignment horizontal="right" vertical="center" wrapText="1"/>
    </xf>
    <xf numFmtId="0" fontId="26" fillId="5" borderId="2" xfId="1" applyFont="1" applyFill="1" applyBorder="1" applyAlignment="1">
      <alignment horizontal="right" vertical="center" wrapText="1"/>
    </xf>
    <xf numFmtId="0" fontId="27" fillId="4" borderId="3" xfId="1" applyFont="1" applyFill="1" applyBorder="1" applyAlignment="1">
      <alignment horizontal="left" vertical="center"/>
    </xf>
    <xf numFmtId="0" fontId="27" fillId="4" borderId="3" xfId="1" applyFont="1" applyFill="1" applyBorder="1" applyAlignment="1">
      <alignment horizontal="right" vertical="center"/>
    </xf>
    <xf numFmtId="164" fontId="28" fillId="5" borderId="3" xfId="1" applyNumberFormat="1" applyFont="1" applyFill="1" applyBorder="1" applyAlignment="1">
      <alignment horizontal="right" vertical="center" wrapText="1"/>
    </xf>
    <xf numFmtId="0" fontId="28" fillId="4" borderId="0" xfId="1" applyFont="1" applyFill="1" applyAlignment="1">
      <alignment horizontal="left" vertical="center"/>
    </xf>
    <xf numFmtId="164" fontId="28" fillId="5" borderId="0" xfId="1" applyNumberFormat="1" applyFont="1" applyFill="1" applyAlignment="1">
      <alignment horizontal="right" vertical="center" wrapText="1"/>
    </xf>
    <xf numFmtId="0" fontId="28" fillId="4" borderId="3" xfId="1" applyFont="1" applyFill="1" applyBorder="1" applyAlignment="1">
      <alignment horizontal="left" vertical="center" wrapText="1"/>
    </xf>
    <xf numFmtId="0" fontId="28" fillId="4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164" fontId="28" fillId="2" borderId="0" xfId="1" applyNumberFormat="1" applyFont="1" applyFill="1" applyAlignment="1">
      <alignment horizontal="right" vertical="center" wrapText="1"/>
    </xf>
    <xf numFmtId="3" fontId="1" fillId="0" borderId="0" xfId="1" applyNumberFormat="1"/>
    <xf numFmtId="164" fontId="28" fillId="0" borderId="0" xfId="1" applyNumberFormat="1" applyFont="1" applyAlignment="1">
      <alignment horizontal="right" vertical="center" wrapText="1"/>
    </xf>
    <xf numFmtId="0" fontId="28" fillId="4" borderId="0" xfId="1" applyFont="1" applyFill="1" applyAlignment="1">
      <alignment horizontal="right" vertical="center"/>
    </xf>
    <xf numFmtId="164" fontId="28" fillId="0" borderId="3" xfId="1" applyNumberFormat="1" applyFont="1" applyBorder="1" applyAlignment="1">
      <alignment horizontal="right" vertical="center" wrapText="1"/>
    </xf>
    <xf numFmtId="9" fontId="1" fillId="0" borderId="0" xfId="1" applyNumberFormat="1"/>
    <xf numFmtId="0" fontId="28" fillId="4" borderId="3" xfId="1" applyFont="1" applyFill="1" applyBorder="1" applyAlignment="1">
      <alignment horizontal="right" vertical="center"/>
    </xf>
    <xf numFmtId="0" fontId="29" fillId="4" borderId="3" xfId="1" applyFont="1" applyFill="1" applyBorder="1" applyAlignment="1">
      <alignment horizontal="right" vertical="center"/>
    </xf>
    <xf numFmtId="0" fontId="26" fillId="4" borderId="3" xfId="1" applyFont="1" applyFill="1" applyBorder="1" applyAlignment="1">
      <alignment horizontal="left" vertical="center"/>
    </xf>
    <xf numFmtId="0" fontId="29" fillId="4" borderId="3" xfId="1" applyFont="1" applyFill="1" applyBorder="1" applyAlignment="1">
      <alignment horizontal="left" vertical="center"/>
    </xf>
    <xf numFmtId="164" fontId="28" fillId="5" borderId="1" xfId="1" applyNumberFormat="1" applyFont="1" applyFill="1" applyBorder="1" applyAlignment="1">
      <alignment horizontal="right" vertical="center" wrapText="1"/>
    </xf>
    <xf numFmtId="0" fontId="19" fillId="4" borderId="3" xfId="1" applyFont="1" applyFill="1" applyBorder="1" applyAlignment="1">
      <alignment horizontal="left" vertical="center"/>
    </xf>
    <xf numFmtId="164" fontId="19" fillId="0" borderId="3" xfId="1" applyNumberFormat="1" applyFont="1" applyBorder="1" applyAlignment="1">
      <alignment horizontal="right" vertical="center" wrapText="1"/>
    </xf>
    <xf numFmtId="0" fontId="13" fillId="5" borderId="0" xfId="1" applyFont="1" applyFill="1" applyAlignment="1">
      <alignment horizontal="left" vertical="center"/>
    </xf>
    <xf numFmtId="0" fontId="27" fillId="5" borderId="0" xfId="1" applyFont="1" applyFill="1" applyAlignment="1">
      <alignment horizontal="right" vertical="center" wrapText="1"/>
    </xf>
    <xf numFmtId="0" fontId="19" fillId="4" borderId="3" xfId="1" applyFont="1" applyFill="1" applyBorder="1" applyAlignment="1">
      <alignment horizontal="left" vertical="center" wrapText="1"/>
    </xf>
    <xf numFmtId="0" fontId="19" fillId="2" borderId="3" xfId="1" applyFont="1" applyFill="1" applyBorder="1" applyAlignment="1">
      <alignment horizontal="right" vertical="center" wrapText="1"/>
    </xf>
    <xf numFmtId="0" fontId="28" fillId="4" borderId="2" xfId="1" applyFont="1" applyFill="1" applyBorder="1" applyAlignment="1">
      <alignment horizontal="left" vertical="center"/>
    </xf>
    <xf numFmtId="164" fontId="28" fillId="5" borderId="2" xfId="1" applyNumberFormat="1" applyFont="1" applyFill="1" applyBorder="1" applyAlignment="1">
      <alignment horizontal="right" vertical="center" wrapText="1"/>
    </xf>
    <xf numFmtId="2" fontId="30" fillId="0" borderId="0" xfId="2" applyNumberFormat="1" applyFont="1" applyFill="1" applyAlignment="1">
      <alignment horizontal="right" vertical="center" wrapText="1"/>
    </xf>
    <xf numFmtId="0" fontId="28" fillId="6" borderId="0" xfId="1" applyFont="1" applyFill="1" applyAlignment="1">
      <alignment horizontal="left" vertical="center"/>
    </xf>
    <xf numFmtId="0" fontId="1" fillId="7" borderId="0" xfId="1" applyFill="1"/>
    <xf numFmtId="2" fontId="30" fillId="0" borderId="2" xfId="2" applyNumberFormat="1" applyFont="1" applyFill="1" applyBorder="1" applyAlignment="1">
      <alignment horizontal="right" vertical="center" wrapText="1"/>
    </xf>
    <xf numFmtId="0" fontId="31" fillId="0" borderId="0" xfId="1" applyFont="1" applyAlignment="1">
      <alignment horizontal="left" vertical="center"/>
    </xf>
    <xf numFmtId="2" fontId="32" fillId="0" borderId="0" xfId="2" applyNumberFormat="1" applyFont="1" applyFill="1" applyBorder="1" applyAlignment="1">
      <alignment horizontal="right" vertical="center" wrapText="1"/>
    </xf>
    <xf numFmtId="0" fontId="33" fillId="0" borderId="0" xfId="1" applyFont="1"/>
    <xf numFmtId="0" fontId="33" fillId="2" borderId="0" xfId="1" applyFont="1" applyFill="1"/>
    <xf numFmtId="0" fontId="19" fillId="0" borderId="3" xfId="1" applyFont="1" applyBorder="1" applyAlignment="1">
      <alignment horizontal="right" vertical="center" wrapText="1"/>
    </xf>
    <xf numFmtId="164" fontId="26" fillId="5" borderId="3" xfId="1" applyNumberFormat="1" applyFont="1" applyFill="1" applyBorder="1" applyAlignment="1">
      <alignment horizontal="right" vertical="center" wrapText="1"/>
    </xf>
    <xf numFmtId="164" fontId="29" fillId="5" borderId="0" xfId="1" applyNumberFormat="1" applyFont="1" applyFill="1" applyAlignment="1">
      <alignment horizontal="right" vertical="center" wrapText="1"/>
    </xf>
    <xf numFmtId="164" fontId="29" fillId="5" borderId="3" xfId="1" applyNumberFormat="1" applyFont="1" applyFill="1" applyBorder="1" applyAlignment="1">
      <alignment horizontal="right" vertical="center" wrapText="1"/>
    </xf>
    <xf numFmtId="2" fontId="32" fillId="5" borderId="0" xfId="2" applyNumberFormat="1" applyFont="1" applyFill="1" applyBorder="1" applyAlignment="1">
      <alignment horizontal="right" vertical="center" wrapText="1"/>
    </xf>
    <xf numFmtId="164" fontId="29" fillId="0" borderId="3" xfId="1" applyNumberFormat="1" applyFont="1" applyBorder="1" applyAlignment="1">
      <alignment horizontal="right" vertical="center" wrapText="1"/>
    </xf>
    <xf numFmtId="164" fontId="29" fillId="0" borderId="0" xfId="1" applyNumberFormat="1" applyFont="1" applyAlignment="1">
      <alignment horizontal="right" vertical="center" wrapText="1"/>
    </xf>
    <xf numFmtId="164" fontId="26" fillId="0" borderId="3" xfId="1" applyNumberFormat="1" applyFont="1" applyBorder="1" applyAlignment="1">
      <alignment horizontal="right" vertical="center" wrapText="1"/>
    </xf>
    <xf numFmtId="164" fontId="19" fillId="2" borderId="3" xfId="1" applyNumberFormat="1" applyFont="1" applyFill="1" applyBorder="1" applyAlignment="1">
      <alignment horizontal="right" vertical="center" wrapText="1"/>
    </xf>
    <xf numFmtId="0" fontId="19" fillId="4" borderId="0" xfId="1" applyFont="1" applyFill="1" applyAlignment="1">
      <alignment horizontal="left" vertical="center"/>
    </xf>
    <xf numFmtId="164" fontId="14" fillId="0" borderId="0" xfId="1" applyNumberFormat="1" applyFont="1" applyAlignment="1">
      <alignment horizontal="right" vertical="center" wrapText="1"/>
    </xf>
    <xf numFmtId="164" fontId="14" fillId="2" borderId="0" xfId="1" applyNumberFormat="1" applyFont="1" applyFill="1" applyAlignment="1">
      <alignment horizontal="right" vertical="center" wrapText="1"/>
    </xf>
    <xf numFmtId="0" fontId="1" fillId="0" borderId="1" xfId="1" applyBorder="1"/>
    <xf numFmtId="0" fontId="1" fillId="2" borderId="1" xfId="1" applyFill="1" applyBorder="1"/>
    <xf numFmtId="0" fontId="1" fillId="2" borderId="0" xfId="1" applyFill="1"/>
    <xf numFmtId="0" fontId="26" fillId="4" borderId="3" xfId="1" applyFont="1" applyFill="1" applyBorder="1" applyAlignment="1">
      <alignment horizontal="left" vertical="center" wrapText="1"/>
    </xf>
    <xf numFmtId="0" fontId="26" fillId="5" borderId="3" xfId="1" applyFont="1" applyFill="1" applyBorder="1" applyAlignment="1">
      <alignment horizontal="right" vertical="center" wrapText="1"/>
    </xf>
    <xf numFmtId="164" fontId="30" fillId="0" borderId="3" xfId="1" applyNumberFormat="1" applyFont="1" applyBorder="1" applyAlignment="1">
      <alignment horizontal="right" vertical="center" wrapText="1"/>
    </xf>
    <xf numFmtId="0" fontId="29" fillId="6" borderId="0" xfId="1" applyFont="1" applyFill="1" applyAlignment="1">
      <alignment horizontal="left" vertical="center" wrapText="1"/>
    </xf>
    <xf numFmtId="0" fontId="29" fillId="6" borderId="0" xfId="1" applyFont="1" applyFill="1" applyAlignment="1">
      <alignment horizontal="left" vertical="center"/>
    </xf>
    <xf numFmtId="0" fontId="29" fillId="6" borderId="0" xfId="1" applyFont="1" applyFill="1" applyAlignment="1">
      <alignment horizontal="left" wrapText="1"/>
    </xf>
    <xf numFmtId="0" fontId="29" fillId="4" borderId="0" xfId="1" applyFont="1" applyFill="1" applyAlignment="1">
      <alignment horizontal="left" vertical="center" wrapText="1"/>
    </xf>
    <xf numFmtId="0" fontId="29" fillId="4" borderId="3" xfId="1" applyFont="1" applyFill="1" applyBorder="1" applyAlignment="1">
      <alignment horizontal="left" vertical="center" wrapText="1"/>
    </xf>
    <xf numFmtId="0" fontId="27" fillId="4" borderId="3" xfId="1" applyFont="1" applyFill="1" applyBorder="1" applyAlignment="1">
      <alignment horizontal="left" vertical="center" wrapText="1"/>
    </xf>
    <xf numFmtId="164" fontId="28" fillId="2" borderId="2" xfId="1" applyNumberFormat="1" applyFont="1" applyFill="1" applyBorder="1" applyAlignment="1">
      <alignment horizontal="right" vertical="center" wrapText="1"/>
    </xf>
    <xf numFmtId="0" fontId="28" fillId="2" borderId="2" xfId="1" applyFont="1" applyFill="1" applyBorder="1" applyAlignment="1">
      <alignment horizontal="right" vertical="center" wrapText="1"/>
    </xf>
    <xf numFmtId="165" fontId="28" fillId="2" borderId="0" xfId="1" applyNumberFormat="1" applyFont="1" applyFill="1" applyAlignment="1">
      <alignment horizontal="right" vertical="center" wrapText="1"/>
    </xf>
    <xf numFmtId="0" fontId="34" fillId="0" borderId="0" xfId="1" applyFont="1" applyAlignment="1">
      <alignment vertical="center"/>
    </xf>
    <xf numFmtId="0" fontId="28" fillId="0" borderId="3" xfId="1" applyFont="1" applyBorder="1" applyAlignment="1">
      <alignment horizontal="right" vertical="center" wrapText="1"/>
    </xf>
    <xf numFmtId="165" fontId="28" fillId="0" borderId="0" xfId="1" applyNumberFormat="1" applyFont="1" applyAlignment="1">
      <alignment horizontal="right" vertical="center" wrapText="1"/>
    </xf>
    <xf numFmtId="0" fontId="28" fillId="4" borderId="0" xfId="1" applyFont="1" applyFill="1" applyAlignment="1">
      <alignment horizontal="left" vertical="center" wrapText="1"/>
    </xf>
    <xf numFmtId="0" fontId="1" fillId="0" borderId="0" xfId="1" applyAlignment="1">
      <alignment wrapText="1"/>
    </xf>
    <xf numFmtId="0" fontId="35" fillId="2" borderId="0" xfId="1" applyFont="1" applyFill="1"/>
    <xf numFmtId="0" fontId="36" fillId="0" borderId="0" xfId="1" applyFont="1"/>
    <xf numFmtId="0" fontId="37" fillId="0" borderId="0" xfId="1" applyFont="1"/>
    <xf numFmtId="0" fontId="38" fillId="0" borderId="0" xfId="1" applyFont="1"/>
    <xf numFmtId="0" fontId="26" fillId="2" borderId="8" xfId="1" applyFont="1" applyFill="1" applyBorder="1" applyAlignment="1">
      <alignment horizontal="right" wrapText="1"/>
    </xf>
    <xf numFmtId="0" fontId="26" fillId="2" borderId="3" xfId="1" applyFont="1" applyFill="1" applyBorder="1" applyAlignment="1">
      <alignment horizontal="right" wrapText="1"/>
    </xf>
    <xf numFmtId="0" fontId="26" fillId="2" borderId="9" xfId="1" applyFont="1" applyFill="1" applyBorder="1" applyAlignment="1">
      <alignment horizontal="right" wrapText="1"/>
    </xf>
    <xf numFmtId="0" fontId="38" fillId="0" borderId="0" xfId="1" applyFont="1" applyAlignment="1">
      <alignment wrapText="1"/>
    </xf>
    <xf numFmtId="0" fontId="29" fillId="4" borderId="10" xfId="1" applyFont="1" applyFill="1" applyBorder="1" applyAlignment="1">
      <alignment horizontal="left" vertical="center"/>
    </xf>
    <xf numFmtId="167" fontId="29" fillId="5" borderId="8" xfId="1" applyNumberFormat="1" applyFont="1" applyFill="1" applyBorder="1" applyAlignment="1">
      <alignment horizontal="right" vertical="center" wrapText="1"/>
    </xf>
    <xf numFmtId="167" fontId="29" fillId="5" borderId="3" xfId="1" applyNumberFormat="1" applyFont="1" applyFill="1" applyBorder="1" applyAlignment="1">
      <alignment horizontal="right" vertical="center" wrapText="1"/>
    </xf>
    <xf numFmtId="167" fontId="29" fillId="0" borderId="9" xfId="1" applyNumberFormat="1" applyFont="1" applyBorder="1" applyAlignment="1">
      <alignment horizontal="right" vertical="center" wrapText="1"/>
    </xf>
    <xf numFmtId="167" fontId="29" fillId="5" borderId="9" xfId="1" applyNumberFormat="1" applyFont="1" applyFill="1" applyBorder="1" applyAlignment="1">
      <alignment horizontal="right" vertical="center" wrapText="1"/>
    </xf>
    <xf numFmtId="167" fontId="29" fillId="5" borderId="0" xfId="1" applyNumberFormat="1" applyFont="1" applyFill="1" applyAlignment="1">
      <alignment horizontal="right" vertical="center" wrapText="1"/>
    </xf>
    <xf numFmtId="167" fontId="29" fillId="0" borderId="11" xfId="1" applyNumberFormat="1" applyFont="1" applyBorder="1" applyAlignment="1">
      <alignment horizontal="right" vertical="center" wrapText="1"/>
    </xf>
    <xf numFmtId="167" fontId="29" fillId="5" borderId="11" xfId="1" applyNumberFormat="1" applyFont="1" applyFill="1" applyBorder="1" applyAlignment="1">
      <alignment horizontal="right" vertical="center" wrapText="1"/>
    </xf>
    <xf numFmtId="0" fontId="29" fillId="4" borderId="12" xfId="1" applyFont="1" applyFill="1" applyBorder="1" applyAlignment="1">
      <alignment horizontal="left" vertical="center"/>
    </xf>
    <xf numFmtId="0" fontId="29" fillId="4" borderId="11" xfId="1" applyFont="1" applyFill="1" applyBorder="1" applyAlignment="1">
      <alignment horizontal="left" vertical="center"/>
    </xf>
    <xf numFmtId="167" fontId="29" fillId="5" borderId="13" xfId="1" applyNumberFormat="1" applyFont="1" applyFill="1" applyBorder="1" applyAlignment="1">
      <alignment horizontal="right" vertical="center" wrapText="1"/>
    </xf>
    <xf numFmtId="167" fontId="29" fillId="5" borderId="1" xfId="1" applyNumberFormat="1" applyFont="1" applyFill="1" applyBorder="1" applyAlignment="1">
      <alignment horizontal="right" vertical="center" wrapText="1"/>
    </xf>
    <xf numFmtId="167" fontId="29" fillId="0" borderId="10" xfId="1" applyNumberFormat="1" applyFont="1" applyBorder="1" applyAlignment="1">
      <alignment horizontal="right" vertical="center" wrapText="1"/>
    </xf>
    <xf numFmtId="167" fontId="29" fillId="5" borderId="10" xfId="1" applyNumberFormat="1" applyFont="1" applyFill="1" applyBorder="1" applyAlignment="1">
      <alignment horizontal="right" vertical="center" wrapText="1"/>
    </xf>
    <xf numFmtId="167" fontId="29" fillId="5" borderId="14" xfId="1" applyNumberFormat="1" applyFont="1" applyFill="1" applyBorder="1" applyAlignment="1">
      <alignment horizontal="right" vertical="center" wrapText="1"/>
    </xf>
    <xf numFmtId="167" fontId="29" fillId="5" borderId="15" xfId="1" applyNumberFormat="1" applyFont="1" applyFill="1" applyBorder="1" applyAlignment="1">
      <alignment horizontal="right" vertical="center" wrapText="1"/>
    </xf>
    <xf numFmtId="167" fontId="29" fillId="5" borderId="2" xfId="1" applyNumberFormat="1" applyFont="1" applyFill="1" applyBorder="1" applyAlignment="1">
      <alignment horizontal="right" vertical="center" wrapText="1"/>
    </xf>
    <xf numFmtId="167" fontId="29" fillId="0" borderId="12" xfId="1" applyNumberFormat="1" applyFont="1" applyBorder="1" applyAlignment="1">
      <alignment horizontal="right" vertical="center" wrapText="1"/>
    </xf>
    <xf numFmtId="167" fontId="29" fillId="5" borderId="12" xfId="1" applyNumberFormat="1" applyFont="1" applyFill="1" applyBorder="1" applyAlignment="1">
      <alignment horizontal="right" vertical="center" wrapText="1"/>
    </xf>
    <xf numFmtId="0" fontId="26" fillId="4" borderId="9" xfId="1" applyFont="1" applyFill="1" applyBorder="1" applyAlignment="1">
      <alignment horizontal="left" vertical="center"/>
    </xf>
    <xf numFmtId="3" fontId="38" fillId="0" borderId="0" xfId="1" applyNumberFormat="1" applyFont="1"/>
    <xf numFmtId="0" fontId="26" fillId="2" borderId="3" xfId="1" applyFont="1" applyFill="1" applyBorder="1" applyAlignment="1">
      <alignment vertical="center" wrapText="1"/>
    </xf>
    <xf numFmtId="0" fontId="26" fillId="2" borderId="1" xfId="1" applyFont="1" applyFill="1" applyBorder="1" applyAlignment="1">
      <alignment vertical="center" wrapText="1"/>
    </xf>
    <xf numFmtId="14" fontId="38" fillId="0" borderId="0" xfId="1" applyNumberFormat="1" applyFont="1"/>
    <xf numFmtId="0" fontId="29" fillId="4" borderId="1" xfId="1" applyFont="1" applyFill="1" applyBorder="1" applyAlignment="1">
      <alignment horizontal="left" vertical="center"/>
    </xf>
    <xf numFmtId="0" fontId="29" fillId="4" borderId="0" xfId="1" applyFont="1" applyFill="1" applyAlignment="1">
      <alignment horizontal="left" vertical="center"/>
    </xf>
    <xf numFmtId="167" fontId="29" fillId="0" borderId="14" xfId="1" applyNumberFormat="1" applyFont="1" applyBorder="1" applyAlignment="1">
      <alignment horizontal="right" vertical="center" wrapText="1"/>
    </xf>
    <xf numFmtId="167" fontId="29" fillId="0" borderId="0" xfId="1" applyNumberFormat="1" applyFont="1" applyAlignment="1">
      <alignment horizontal="right" vertical="center" wrapText="1"/>
    </xf>
    <xf numFmtId="0" fontId="38" fillId="8" borderId="0" xfId="1" applyFont="1" applyFill="1"/>
    <xf numFmtId="0" fontId="29" fillId="4" borderId="2" xfId="1" applyFont="1" applyFill="1" applyBorder="1" applyAlignment="1">
      <alignment horizontal="left" vertical="center"/>
    </xf>
    <xf numFmtId="167" fontId="38" fillId="0" borderId="0" xfId="1" applyNumberFormat="1" applyFont="1"/>
    <xf numFmtId="3" fontId="36" fillId="0" borderId="0" xfId="1" applyNumberFormat="1" applyFont="1"/>
    <xf numFmtId="0" fontId="39" fillId="2" borderId="0" xfId="1" applyFont="1" applyFill="1"/>
    <xf numFmtId="3" fontId="13" fillId="0" borderId="3" xfId="1" applyNumberFormat="1" applyFont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3" fontId="13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40" fillId="0" borderId="0" xfId="1" applyFont="1" applyAlignment="1">
      <alignment vertical="center"/>
    </xf>
    <xf numFmtId="3" fontId="13" fillId="5" borderId="3" xfId="1" applyNumberFormat="1" applyFont="1" applyFill="1" applyBorder="1" applyAlignment="1">
      <alignment horizontal="right" vertical="center" wrapText="1"/>
    </xf>
    <xf numFmtId="168" fontId="13" fillId="0" borderId="0" xfId="1" applyNumberFormat="1" applyFont="1" applyAlignment="1">
      <alignment horizontal="right" vertical="center" wrapText="1"/>
    </xf>
    <xf numFmtId="0" fontId="13" fillId="5" borderId="0" xfId="1" applyFont="1" applyFill="1" applyAlignment="1">
      <alignment horizontal="right" vertical="center" wrapText="1"/>
    </xf>
    <xf numFmtId="3" fontId="40" fillId="0" borderId="0" xfId="1" applyNumberFormat="1" applyFont="1" applyAlignment="1">
      <alignment vertical="center"/>
    </xf>
    <xf numFmtId="3" fontId="13" fillId="0" borderId="16" xfId="1" applyNumberFormat="1" applyFont="1" applyBorder="1" applyAlignment="1">
      <alignment horizontal="right" vertical="center" wrapText="1"/>
    </xf>
    <xf numFmtId="3" fontId="13" fillId="5" borderId="16" xfId="1" applyNumberFormat="1" applyFont="1" applyFill="1" applyBorder="1" applyAlignment="1">
      <alignment horizontal="right" vertical="center" wrapText="1"/>
    </xf>
    <xf numFmtId="0" fontId="13" fillId="4" borderId="17" xfId="1" applyFont="1" applyFill="1" applyBorder="1" applyAlignment="1">
      <alignment horizontal="left" vertical="center"/>
    </xf>
    <xf numFmtId="0" fontId="13" fillId="4" borderId="17" xfId="1" applyFont="1" applyFill="1" applyBorder="1" applyAlignment="1">
      <alignment horizontal="right" vertical="center"/>
    </xf>
    <xf numFmtId="168" fontId="13" fillId="0" borderId="18" xfId="1" applyNumberFormat="1" applyFont="1" applyBorder="1" applyAlignment="1">
      <alignment horizontal="right" vertical="center" wrapText="1"/>
    </xf>
    <xf numFmtId="3" fontId="13" fillId="5" borderId="18" xfId="1" applyNumberFormat="1" applyFont="1" applyFill="1" applyBorder="1" applyAlignment="1">
      <alignment horizontal="right" vertical="center" wrapText="1"/>
    </xf>
    <xf numFmtId="3" fontId="18" fillId="5" borderId="3" xfId="1" applyNumberFormat="1" applyFont="1" applyFill="1" applyBorder="1" applyAlignment="1">
      <alignment horizontal="right" vertical="center" wrapText="1"/>
    </xf>
    <xf numFmtId="0" fontId="41" fillId="0" borderId="0" xfId="1" applyFont="1" applyAlignment="1">
      <alignment horizontal="right" vertical="center"/>
    </xf>
    <xf numFmtId="4" fontId="1" fillId="0" borderId="0" xfId="1" applyNumberFormat="1"/>
    <xf numFmtId="0" fontId="14" fillId="4" borderId="3" xfId="1" applyFont="1" applyFill="1" applyBorder="1" applyAlignment="1">
      <alignment horizontal="left" vertical="center"/>
    </xf>
    <xf numFmtId="0" fontId="14" fillId="4" borderId="3" xfId="1" applyFont="1" applyFill="1" applyBorder="1" applyAlignment="1">
      <alignment horizontal="right" vertical="center"/>
    </xf>
    <xf numFmtId="165" fontId="1" fillId="0" borderId="0" xfId="1" applyNumberFormat="1" applyAlignment="1">
      <alignment vertical="center"/>
    </xf>
    <xf numFmtId="3" fontId="13" fillId="5" borderId="0" xfId="1" applyNumberFormat="1" applyFont="1" applyFill="1" applyAlignment="1">
      <alignment horizontal="right" vertical="center" wrapText="1"/>
    </xf>
    <xf numFmtId="4" fontId="42" fillId="0" borderId="0" xfId="3" applyNumberFormat="1"/>
    <xf numFmtId="0" fontId="21" fillId="4" borderId="2" xfId="1" applyFont="1" applyFill="1" applyBorder="1" applyAlignment="1">
      <alignment horizontal="left" vertical="center"/>
    </xf>
    <xf numFmtId="0" fontId="21" fillId="4" borderId="2" xfId="1" applyFont="1" applyFill="1" applyBorder="1" applyAlignment="1">
      <alignment horizontal="right" vertical="center"/>
    </xf>
    <xf numFmtId="3" fontId="13" fillId="5" borderId="2" xfId="1" applyNumberFormat="1" applyFont="1" applyFill="1" applyBorder="1" applyAlignment="1">
      <alignment horizontal="right" vertical="center" wrapText="1"/>
    </xf>
    <xf numFmtId="4" fontId="1" fillId="9" borderId="0" xfId="1" applyNumberFormat="1" applyFill="1" applyAlignment="1">
      <alignment vertical="center"/>
    </xf>
    <xf numFmtId="0" fontId="13" fillId="0" borderId="0" xfId="1" applyFont="1" applyAlignment="1">
      <alignment horizontal="right" vertical="center" wrapText="1"/>
    </xf>
    <xf numFmtId="3" fontId="13" fillId="0" borderId="2" xfId="1" applyNumberFormat="1" applyFont="1" applyBorder="1" applyAlignment="1">
      <alignment horizontal="right" vertical="center" wrapText="1"/>
    </xf>
    <xf numFmtId="0" fontId="14" fillId="4" borderId="3" xfId="1" applyFont="1" applyFill="1" applyBorder="1" applyAlignment="1">
      <alignment horizontal="left" vertical="center" wrapText="1"/>
    </xf>
    <xf numFmtId="3" fontId="18" fillId="0" borderId="3" xfId="1" applyNumberFormat="1" applyFont="1" applyBorder="1" applyAlignment="1">
      <alignment horizontal="right" vertical="center" wrapText="1"/>
    </xf>
    <xf numFmtId="3" fontId="1" fillId="0" borderId="0" xfId="1" applyNumberFormat="1" applyAlignment="1">
      <alignment horizontal="right"/>
    </xf>
    <xf numFmtId="0" fontId="18" fillId="0" borderId="0" xfId="1" applyFont="1" applyAlignment="1">
      <alignment horizontal="right" vertical="center" wrapText="1"/>
    </xf>
    <xf numFmtId="0" fontId="43" fillId="4" borderId="4" xfId="1" applyFont="1" applyFill="1" applyBorder="1" applyAlignment="1">
      <alignment horizontal="justify" vertical="center"/>
    </xf>
    <xf numFmtId="0" fontId="26" fillId="4" borderId="6" xfId="1" applyFont="1" applyFill="1" applyBorder="1" applyAlignment="1">
      <alignment horizontal="justify" vertical="center"/>
    </xf>
    <xf numFmtId="0" fontId="26" fillId="5" borderId="6" xfId="1" applyFont="1" applyFill="1" applyBorder="1" applyAlignment="1">
      <alignment horizontal="right" vertical="center" wrapText="1"/>
    </xf>
    <xf numFmtId="0" fontId="26" fillId="5" borderId="5" xfId="1" applyFont="1" applyFill="1" applyBorder="1" applyAlignment="1">
      <alignment horizontal="right" vertical="center" wrapText="1"/>
    </xf>
    <xf numFmtId="0" fontId="27" fillId="4" borderId="19" xfId="1" applyFont="1" applyFill="1" applyBorder="1" applyAlignment="1">
      <alignment horizontal="left" vertical="center"/>
    </xf>
    <xf numFmtId="0" fontId="27" fillId="4" borderId="6" xfId="1" applyFont="1" applyFill="1" applyBorder="1" applyAlignment="1">
      <alignment horizontal="right" vertical="center"/>
    </xf>
    <xf numFmtId="3" fontId="28" fillId="0" borderId="6" xfId="1" applyNumberFormat="1" applyFont="1" applyBorder="1" applyAlignment="1">
      <alignment horizontal="right" vertical="center" wrapText="1"/>
    </xf>
    <xf numFmtId="3" fontId="28" fillId="0" borderId="0" xfId="1" applyNumberFormat="1" applyFont="1" applyAlignment="1">
      <alignment horizontal="right" vertical="center" wrapText="1"/>
    </xf>
    <xf numFmtId="3" fontId="28" fillId="5" borderId="0" xfId="1" applyNumberFormat="1" applyFont="1" applyFill="1" applyAlignment="1">
      <alignment horizontal="right" vertical="center" wrapText="1"/>
    </xf>
    <xf numFmtId="0" fontId="28" fillId="4" borderId="4" xfId="1" applyFont="1" applyFill="1" applyBorder="1" applyAlignment="1">
      <alignment horizontal="left" vertical="center"/>
    </xf>
    <xf numFmtId="3" fontId="44" fillId="2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horizontal="left" vertical="center"/>
    </xf>
    <xf numFmtId="0" fontId="27" fillId="4" borderId="1" xfId="1" applyFont="1" applyFill="1" applyBorder="1" applyAlignment="1">
      <alignment horizontal="left" vertical="center"/>
    </xf>
    <xf numFmtId="3" fontId="28" fillId="5" borderId="3" xfId="1" applyNumberFormat="1" applyFont="1" applyFill="1" applyBorder="1" applyAlignment="1">
      <alignment horizontal="right" vertical="center" wrapText="1"/>
    </xf>
    <xf numFmtId="0" fontId="28" fillId="4" borderId="5" xfId="1" applyFont="1" applyFill="1" applyBorder="1" applyAlignment="1">
      <alignment horizontal="left" vertical="center"/>
    </xf>
    <xf numFmtId="3" fontId="2" fillId="0" borderId="0" xfId="1" applyNumberFormat="1" applyFont="1" applyAlignment="1">
      <alignment vertical="center"/>
    </xf>
    <xf numFmtId="168" fontId="2" fillId="8" borderId="0" xfId="1" applyNumberFormat="1" applyFont="1" applyFill="1" applyAlignment="1">
      <alignment vertical="center"/>
    </xf>
    <xf numFmtId="0" fontId="28" fillId="5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8" fillId="4" borderId="5" xfId="1" applyFont="1" applyFill="1" applyBorder="1" applyAlignment="1">
      <alignment horizontal="right" vertical="center"/>
    </xf>
    <xf numFmtId="3" fontId="28" fillId="0" borderId="3" xfId="1" applyNumberFormat="1" applyFont="1" applyBorder="1" applyAlignment="1">
      <alignment horizontal="right" vertical="center" wrapText="1"/>
    </xf>
    <xf numFmtId="0" fontId="28" fillId="4" borderId="1" xfId="1" applyFont="1" applyFill="1" applyBorder="1" applyAlignment="1">
      <alignment horizontal="left" vertical="center"/>
    </xf>
    <xf numFmtId="0" fontId="28" fillId="4" borderId="4" xfId="1" applyFont="1" applyFill="1" applyBorder="1" applyAlignment="1">
      <alignment horizontal="right" vertical="center"/>
    </xf>
    <xf numFmtId="0" fontId="28" fillId="0" borderId="1" xfId="1" applyFont="1" applyBorder="1" applyAlignment="1">
      <alignment horizontal="right" vertical="center" wrapText="1"/>
    </xf>
    <xf numFmtId="0" fontId="28" fillId="5" borderId="1" xfId="1" applyFont="1" applyFill="1" applyBorder="1" applyAlignment="1">
      <alignment horizontal="right" vertical="center" wrapText="1"/>
    </xf>
    <xf numFmtId="168" fontId="1" fillId="0" borderId="0" xfId="1" applyNumberFormat="1" applyAlignment="1">
      <alignment vertical="center"/>
    </xf>
    <xf numFmtId="0" fontId="43" fillId="4" borderId="5" xfId="1" applyFont="1" applyFill="1" applyBorder="1" applyAlignment="1">
      <alignment horizontal="left" vertical="center"/>
    </xf>
    <xf numFmtId="0" fontId="29" fillId="4" borderId="5" xfId="1" applyFont="1" applyFill="1" applyBorder="1" applyAlignment="1">
      <alignment horizontal="left" vertical="center"/>
    </xf>
    <xf numFmtId="168" fontId="28" fillId="0" borderId="0" xfId="1" applyNumberFormat="1" applyFont="1" applyAlignment="1">
      <alignment horizontal="right" vertical="center" wrapText="1"/>
    </xf>
    <xf numFmtId="3" fontId="28" fillId="2" borderId="3" xfId="1" applyNumberFormat="1" applyFont="1" applyFill="1" applyBorder="1" applyAlignment="1">
      <alignment horizontal="right" vertical="center" wrapText="1"/>
    </xf>
    <xf numFmtId="168" fontId="28" fillId="0" borderId="3" xfId="1" applyNumberFormat="1" applyFont="1" applyBorder="1" applyAlignment="1">
      <alignment horizontal="right" vertical="center" wrapText="1"/>
    </xf>
    <xf numFmtId="168" fontId="28" fillId="2" borderId="0" xfId="1" applyNumberFormat="1" applyFont="1" applyFill="1" applyAlignment="1">
      <alignment horizontal="right" vertical="center" wrapText="1"/>
    </xf>
    <xf numFmtId="0" fontId="29" fillId="4" borderId="6" xfId="1" applyFont="1" applyFill="1" applyBorder="1" applyAlignment="1">
      <alignment horizontal="left" vertical="center"/>
    </xf>
    <xf numFmtId="168" fontId="28" fillId="0" borderId="6" xfId="1" applyNumberFormat="1" applyFont="1" applyBorder="1" applyAlignment="1">
      <alignment horizontal="right" vertical="center" wrapText="1"/>
    </xf>
    <xf numFmtId="3" fontId="29" fillId="2" borderId="19" xfId="1" applyNumberFormat="1" applyFont="1" applyFill="1" applyBorder="1" applyAlignment="1">
      <alignment horizontal="right" vertical="center" wrapText="1"/>
    </xf>
    <xf numFmtId="168" fontId="28" fillId="0" borderId="4" xfId="1" applyNumberFormat="1" applyFont="1" applyBorder="1" applyAlignment="1">
      <alignment horizontal="right" vertical="center" wrapText="1"/>
    </xf>
    <xf numFmtId="168" fontId="28" fillId="2" borderId="4" xfId="1" applyNumberFormat="1" applyFont="1" applyFill="1" applyBorder="1" applyAlignment="1">
      <alignment horizontal="right" vertical="center" wrapText="1"/>
    </xf>
    <xf numFmtId="0" fontId="18" fillId="4" borderId="5" xfId="1" applyFont="1" applyFill="1" applyBorder="1" applyAlignment="1">
      <alignment horizontal="left" vertical="center"/>
    </xf>
    <xf numFmtId="3" fontId="43" fillId="0" borderId="1" xfId="1" applyNumberFormat="1" applyFont="1" applyBorder="1" applyAlignment="1">
      <alignment horizontal="right" vertical="center" wrapText="1"/>
    </xf>
    <xf numFmtId="3" fontId="43" fillId="2" borderId="6" xfId="1" applyNumberFormat="1" applyFont="1" applyFill="1" applyBorder="1" applyAlignment="1">
      <alignment horizontal="right" vertical="center" wrapText="1"/>
    </xf>
    <xf numFmtId="0" fontId="19" fillId="2" borderId="5" xfId="1" applyFont="1" applyFill="1" applyBorder="1" applyAlignment="1">
      <alignment horizontal="left" vertical="center"/>
    </xf>
    <xf numFmtId="0" fontId="19" fillId="2" borderId="0" xfId="1" applyFont="1" applyFill="1" applyAlignment="1">
      <alignment horizontal="left" vertical="center"/>
    </xf>
    <xf numFmtId="3" fontId="26" fillId="0" borderId="5" xfId="1" applyNumberFormat="1" applyFont="1" applyBorder="1" applyAlignment="1">
      <alignment horizontal="right" vertical="center" wrapText="1"/>
    </xf>
    <xf numFmtId="3" fontId="26" fillId="5" borderId="0" xfId="1" applyNumberFormat="1" applyFont="1" applyFill="1" applyAlignment="1">
      <alignment horizontal="right" vertical="center" wrapText="1"/>
    </xf>
    <xf numFmtId="0" fontId="1" fillId="0" borderId="5" xfId="1" applyBorder="1"/>
    <xf numFmtId="0" fontId="18" fillId="0" borderId="3" xfId="1" applyFont="1" applyBorder="1" applyAlignment="1">
      <alignment horizontal="right" vertical="center" wrapText="1"/>
    </xf>
    <xf numFmtId="0" fontId="18" fillId="0" borderId="1" xfId="1" applyFont="1" applyBorder="1" applyAlignment="1">
      <alignment horizontal="right" vertical="center" wrapText="1"/>
    </xf>
    <xf numFmtId="3" fontId="28" fillId="5" borderId="2" xfId="1" applyNumberFormat="1" applyFont="1" applyFill="1" applyBorder="1" applyAlignment="1">
      <alignment horizontal="right" vertical="center" wrapText="1"/>
    </xf>
    <xf numFmtId="3" fontId="28" fillId="5" borderId="6" xfId="1" applyNumberFormat="1" applyFont="1" applyFill="1" applyBorder="1" applyAlignment="1">
      <alignment horizontal="right" vertical="center" wrapText="1"/>
    </xf>
    <xf numFmtId="3" fontId="28" fillId="5" borderId="1" xfId="1" applyNumberFormat="1" applyFont="1" applyFill="1" applyBorder="1" applyAlignment="1">
      <alignment horizontal="right" vertical="center" wrapText="1"/>
    </xf>
    <xf numFmtId="3" fontId="28" fillId="5" borderId="5" xfId="1" applyNumberFormat="1" applyFont="1" applyFill="1" applyBorder="1" applyAlignment="1">
      <alignment horizontal="right" vertical="center" wrapText="1"/>
    </xf>
    <xf numFmtId="2" fontId="30" fillId="0" borderId="0" xfId="2" applyNumberFormat="1" applyFont="1" applyFill="1" applyBorder="1" applyAlignment="1">
      <alignment horizontal="right" vertical="center" wrapText="1"/>
    </xf>
    <xf numFmtId="2" fontId="30" fillId="0" borderId="0" xfId="1" applyNumberFormat="1" applyFont="1" applyAlignment="1">
      <alignment horizontal="right" vertical="center" wrapText="1"/>
    </xf>
    <xf numFmtId="2" fontId="28" fillId="0" borderId="0" xfId="1" applyNumberFormat="1" applyFont="1" applyAlignment="1">
      <alignment horizontal="right" vertical="center" wrapText="1"/>
    </xf>
    <xf numFmtId="2" fontId="30" fillId="0" borderId="2" xfId="1" applyNumberFormat="1" applyFont="1" applyBorder="1" applyAlignment="1">
      <alignment horizontal="right" vertical="center" wrapText="1"/>
    </xf>
    <xf numFmtId="0" fontId="46" fillId="0" borderId="0" xfId="4" applyFont="1" applyAlignment="1">
      <alignment wrapText="1"/>
    </xf>
    <xf numFmtId="0" fontId="46" fillId="0" borderId="0" xfId="4" applyFont="1"/>
    <xf numFmtId="0" fontId="47" fillId="2" borderId="0" xfId="1" applyFont="1" applyFill="1" applyAlignment="1">
      <alignment horizontal="left" vertical="center" wrapText="1"/>
    </xf>
    <xf numFmtId="0" fontId="48" fillId="0" borderId="3" xfId="1" applyFont="1" applyBorder="1" applyAlignment="1">
      <alignment horizontal="right" vertical="center" wrapText="1"/>
    </xf>
    <xf numFmtId="0" fontId="48" fillId="0" borderId="0" xfId="1" applyFont="1" applyAlignment="1">
      <alignment horizontal="right" vertical="center" wrapText="1"/>
    </xf>
    <xf numFmtId="0" fontId="1" fillId="0" borderId="3" xfId="1" applyBorder="1"/>
    <xf numFmtId="0" fontId="47" fillId="2" borderId="3" xfId="1" applyFont="1" applyFill="1" applyBorder="1" applyAlignment="1">
      <alignment vertical="center" wrapText="1"/>
    </xf>
    <xf numFmtId="0" fontId="47" fillId="2" borderId="0" xfId="1" applyFont="1" applyFill="1" applyAlignment="1">
      <alignment vertical="center" wrapText="1"/>
    </xf>
    <xf numFmtId="4" fontId="46" fillId="0" borderId="0" xfId="4" applyNumberFormat="1" applyFont="1"/>
    <xf numFmtId="4" fontId="46" fillId="0" borderId="1" xfId="4" applyNumberFormat="1" applyFont="1" applyBorder="1"/>
    <xf numFmtId="0" fontId="18" fillId="0" borderId="19" xfId="1" applyFont="1" applyBorder="1" applyAlignment="1">
      <alignment horizontal="right" vertical="center" wrapText="1"/>
    </xf>
    <xf numFmtId="0" fontId="18" fillId="0" borderId="6" xfId="1" applyFont="1" applyBorder="1" applyAlignment="1">
      <alignment horizontal="right" vertical="center" wrapText="1"/>
    </xf>
    <xf numFmtId="0" fontId="43" fillId="4" borderId="3" xfId="1" applyFont="1" applyFill="1" applyBorder="1" applyAlignment="1">
      <alignment horizontal="left" vertical="center"/>
    </xf>
    <xf numFmtId="164" fontId="43" fillId="5" borderId="0" xfId="1" applyNumberFormat="1" applyFont="1" applyFill="1" applyAlignment="1">
      <alignment horizontal="right" vertical="center" wrapText="1"/>
    </xf>
    <xf numFmtId="164" fontId="43" fillId="5" borderId="6" xfId="1" applyNumberFormat="1" applyFont="1" applyFill="1" applyBorder="1" applyAlignment="1">
      <alignment horizontal="right" vertical="center" wrapText="1"/>
    </xf>
    <xf numFmtId="164" fontId="29" fillId="5" borderId="4" xfId="1" applyNumberFormat="1" applyFont="1" applyFill="1" applyBorder="1" applyAlignment="1">
      <alignment horizontal="right" vertical="center" wrapText="1"/>
    </xf>
    <xf numFmtId="164" fontId="29" fillId="5" borderId="6" xfId="1" applyNumberFormat="1" applyFont="1" applyFill="1" applyBorder="1" applyAlignment="1">
      <alignment horizontal="right" vertical="center" wrapText="1"/>
    </xf>
    <xf numFmtId="164" fontId="29" fillId="0" borderId="1" xfId="1" applyNumberFormat="1" applyFont="1" applyBorder="1" applyAlignment="1">
      <alignment horizontal="right" vertical="center" wrapText="1"/>
    </xf>
    <xf numFmtId="0" fontId="18" fillId="4" borderId="6" xfId="1" applyFont="1" applyFill="1" applyBorder="1" applyAlignment="1">
      <alignment horizontal="left" vertical="center"/>
    </xf>
    <xf numFmtId="0" fontId="43" fillId="4" borderId="6" xfId="1" applyFont="1" applyFill="1" applyBorder="1" applyAlignment="1">
      <alignment horizontal="left" vertical="center"/>
    </xf>
    <xf numFmtId="164" fontId="43" fillId="0" borderId="6" xfId="1" applyNumberFormat="1" applyFont="1" applyBorder="1" applyAlignment="1">
      <alignment horizontal="right" vertical="center" wrapText="1"/>
    </xf>
    <xf numFmtId="0" fontId="18" fillId="4" borderId="2" xfId="1" applyFont="1" applyFill="1" applyBorder="1" applyAlignment="1">
      <alignment horizontal="left" vertical="center"/>
    </xf>
    <xf numFmtId="164" fontId="18" fillId="0" borderId="6" xfId="1" applyNumberFormat="1" applyFont="1" applyBorder="1" applyAlignment="1">
      <alignment horizontal="right" vertical="center" wrapText="1"/>
    </xf>
    <xf numFmtId="164" fontId="18" fillId="0" borderId="0" xfId="1" applyNumberFormat="1" applyFont="1" applyAlignment="1">
      <alignment horizontal="right" vertical="center" wrapText="1"/>
    </xf>
    <xf numFmtId="0" fontId="18" fillId="0" borderId="7" xfId="1" applyFont="1" applyBorder="1" applyAlignment="1">
      <alignment horizontal="right" vertical="center" wrapText="1"/>
    </xf>
    <xf numFmtId="0" fontId="18" fillId="0" borderId="2" xfId="1" applyFont="1" applyBorder="1" applyAlignment="1">
      <alignment horizontal="right" vertical="center" wrapText="1"/>
    </xf>
    <xf numFmtId="0" fontId="43" fillId="4" borderId="5" xfId="1" applyFont="1" applyFill="1" applyBorder="1" applyAlignment="1">
      <alignment horizontal="left" vertical="center" wrapText="1"/>
    </xf>
    <xf numFmtId="0" fontId="43" fillId="5" borderId="6" xfId="1" applyFont="1" applyFill="1" applyBorder="1" applyAlignment="1">
      <alignment horizontal="right" vertical="center" wrapText="1"/>
    </xf>
    <xf numFmtId="0" fontId="43" fillId="5" borderId="3" xfId="1" applyFont="1" applyFill="1" applyBorder="1" applyAlignment="1">
      <alignment horizontal="right" vertical="center" wrapText="1"/>
    </xf>
    <xf numFmtId="0" fontId="28" fillId="4" borderId="6" xfId="1" applyFont="1" applyFill="1" applyBorder="1" applyAlignment="1">
      <alignment horizontal="left" vertical="center" wrapText="1"/>
    </xf>
    <xf numFmtId="3" fontId="30" fillId="0" borderId="6" xfId="1" applyNumberFormat="1" applyFont="1" applyBorder="1" applyAlignment="1">
      <alignment horizontal="right" vertical="center" wrapText="1"/>
    </xf>
    <xf numFmtId="0" fontId="28" fillId="4" borderId="5" xfId="1" applyFont="1" applyFill="1" applyBorder="1" applyAlignment="1">
      <alignment horizontal="left" vertical="center" wrapText="1"/>
    </xf>
    <xf numFmtId="0" fontId="29" fillId="4" borderId="5" xfId="1" applyFont="1" applyFill="1" applyBorder="1" applyAlignment="1">
      <alignment horizontal="left" vertical="center" wrapText="1"/>
    </xf>
    <xf numFmtId="0" fontId="28" fillId="0" borderId="0" xfId="1" applyFont="1" applyAlignment="1">
      <alignment horizontal="right" vertical="center" wrapText="1"/>
    </xf>
    <xf numFmtId="0" fontId="28" fillId="11" borderId="0" xfId="1" applyFont="1" applyFill="1" applyAlignment="1">
      <alignment horizontal="left" vertical="center" wrapText="1"/>
    </xf>
    <xf numFmtId="3" fontId="30" fillId="0" borderId="0" xfId="1" applyNumberFormat="1" applyFont="1" applyAlignment="1">
      <alignment horizontal="right" vertical="center" wrapText="1"/>
    </xf>
    <xf numFmtId="0" fontId="29" fillId="4" borderId="7" xfId="1" applyFont="1" applyFill="1" applyBorder="1" applyAlignment="1">
      <alignment horizontal="left" vertical="center" wrapText="1"/>
    </xf>
    <xf numFmtId="0" fontId="29" fillId="4" borderId="6" xfId="1" applyFont="1" applyFill="1" applyBorder="1" applyAlignment="1">
      <alignment horizontal="left" vertical="center" wrapText="1"/>
    </xf>
    <xf numFmtId="3" fontId="28" fillId="0" borderId="5" xfId="1" applyNumberFormat="1" applyFont="1" applyBorder="1" applyAlignment="1">
      <alignment horizontal="right" vertical="center" wrapText="1"/>
    </xf>
    <xf numFmtId="0" fontId="27" fillId="4" borderId="4" xfId="1" applyFont="1" applyFill="1" applyBorder="1" applyAlignment="1">
      <alignment horizontal="left" vertical="center" wrapText="1"/>
    </xf>
    <xf numFmtId="3" fontId="28" fillId="5" borderId="4" xfId="1" applyNumberFormat="1" applyFont="1" applyFill="1" applyBorder="1" applyAlignment="1">
      <alignment horizontal="right" vertical="center" wrapText="1"/>
    </xf>
    <xf numFmtId="0" fontId="43" fillId="5" borderId="5" xfId="1" applyFont="1" applyFill="1" applyBorder="1" applyAlignment="1">
      <alignment horizontal="right" vertical="center" wrapText="1"/>
    </xf>
    <xf numFmtId="0" fontId="43" fillId="5" borderId="0" xfId="1" applyFont="1" applyFill="1" applyAlignment="1">
      <alignment horizontal="right" vertical="center" wrapText="1"/>
    </xf>
    <xf numFmtId="0" fontId="43" fillId="4" borderId="7" xfId="1" applyFont="1" applyFill="1" applyBorder="1" applyAlignment="1">
      <alignment horizontal="left" vertical="center" wrapText="1"/>
    </xf>
    <xf numFmtId="0" fontId="43" fillId="5" borderId="2" xfId="1" applyFont="1" applyFill="1" applyBorder="1" applyAlignment="1">
      <alignment horizontal="right" vertical="center" wrapText="1"/>
    </xf>
    <xf numFmtId="168" fontId="28" fillId="5" borderId="0" xfId="1" applyNumberFormat="1" applyFont="1" applyFill="1" applyAlignment="1">
      <alignment horizontal="right" vertical="center" wrapText="1"/>
    </xf>
    <xf numFmtId="3" fontId="28" fillId="2" borderId="0" xfId="1" applyNumberFormat="1" applyFont="1" applyFill="1" applyAlignment="1">
      <alignment horizontal="right" vertical="center" wrapText="1"/>
    </xf>
    <xf numFmtId="0" fontId="27" fillId="4" borderId="5" xfId="1" applyFont="1" applyFill="1" applyBorder="1" applyAlignment="1">
      <alignment horizontal="left" vertical="center" wrapText="1"/>
    </xf>
    <xf numFmtId="0" fontId="28" fillId="5" borderId="6" xfId="1" applyFont="1" applyFill="1" applyBorder="1" applyAlignment="1">
      <alignment horizontal="right" vertical="center" wrapText="1"/>
    </xf>
    <xf numFmtId="0" fontId="28" fillId="5" borderId="3" xfId="1" applyFont="1" applyFill="1" applyBorder="1" applyAlignment="1">
      <alignment horizontal="right" vertical="center" wrapText="1"/>
    </xf>
    <xf numFmtId="0" fontId="27" fillId="4" borderId="6" xfId="1" applyFont="1" applyFill="1" applyBorder="1" applyAlignment="1">
      <alignment horizontal="left" vertical="center" wrapText="1"/>
    </xf>
    <xf numFmtId="165" fontId="28" fillId="5" borderId="0" xfId="1" applyNumberFormat="1" applyFont="1" applyFill="1" applyAlignment="1">
      <alignment horizontal="right" vertical="center" wrapText="1"/>
    </xf>
    <xf numFmtId="0" fontId="18" fillId="4" borderId="5" xfId="1" applyFont="1" applyFill="1" applyBorder="1" applyAlignment="1">
      <alignment horizontal="left" vertical="center" wrapText="1"/>
    </xf>
    <xf numFmtId="3" fontId="43" fillId="5" borderId="6" xfId="1" applyNumberFormat="1" applyFont="1" applyFill="1" applyBorder="1" applyAlignment="1">
      <alignment horizontal="right" vertical="center" wrapText="1"/>
    </xf>
    <xf numFmtId="3" fontId="43" fillId="5" borderId="1" xfId="1" applyNumberFormat="1" applyFont="1" applyFill="1" applyBorder="1" applyAlignment="1">
      <alignment horizontal="right" vertical="center" wrapText="1"/>
    </xf>
    <xf numFmtId="0" fontId="1" fillId="0" borderId="5" xfId="1" applyBorder="1" applyAlignment="1">
      <alignment wrapText="1"/>
    </xf>
    <xf numFmtId="0" fontId="50" fillId="6" borderId="1" xfId="1" applyFont="1" applyFill="1" applyBorder="1" applyAlignment="1">
      <alignment vertical="center"/>
    </xf>
    <xf numFmtId="0" fontId="51" fillId="0" borderId="0" xfId="1" applyFont="1"/>
    <xf numFmtId="0" fontId="50" fillId="6" borderId="7" xfId="1" applyFont="1" applyFill="1" applyBorder="1" applyAlignment="1">
      <alignment vertical="center"/>
    </xf>
    <xf numFmtId="0" fontId="43" fillId="0" borderId="20" xfId="1" applyFont="1" applyBorder="1" applyAlignment="1">
      <alignment horizontal="right" wrapText="1"/>
    </xf>
    <xf numFmtId="0" fontId="43" fillId="0" borderId="3" xfId="1" applyFont="1" applyBorder="1" applyAlignment="1">
      <alignment horizontal="right" wrapText="1"/>
    </xf>
    <xf numFmtId="0" fontId="43" fillId="0" borderId="21" xfId="1" applyFont="1" applyBorder="1" applyAlignment="1">
      <alignment horizontal="right" wrapText="1"/>
    </xf>
    <xf numFmtId="169" fontId="28" fillId="0" borderId="8" xfId="1" applyNumberFormat="1" applyFont="1" applyBorder="1" applyAlignment="1">
      <alignment horizontal="right" vertical="center" wrapText="1"/>
    </xf>
    <xf numFmtId="169" fontId="28" fillId="0" borderId="3" xfId="1" applyNumberFormat="1" applyFont="1" applyBorder="1" applyAlignment="1">
      <alignment horizontal="right" vertical="center" wrapText="1"/>
    </xf>
    <xf numFmtId="169" fontId="28" fillId="0" borderId="13" xfId="1" applyNumberFormat="1" applyFont="1" applyBorder="1" applyAlignment="1">
      <alignment horizontal="right" vertical="center" wrapText="1"/>
    </xf>
    <xf numFmtId="0" fontId="29" fillId="4" borderId="22" xfId="1" applyFont="1" applyFill="1" applyBorder="1" applyAlignment="1">
      <alignment horizontal="left" vertical="center"/>
    </xf>
    <xf numFmtId="169" fontId="28" fillId="0" borderId="0" xfId="1" applyNumberFormat="1" applyFont="1" applyAlignment="1">
      <alignment horizontal="right" vertical="center" wrapText="1"/>
    </xf>
    <xf numFmtId="169" fontId="28" fillId="0" borderId="23" xfId="1" applyNumberFormat="1" applyFont="1" applyBorder="1" applyAlignment="1">
      <alignment horizontal="right" vertical="center" wrapText="1"/>
    </xf>
    <xf numFmtId="0" fontId="29" fillId="4" borderId="24" xfId="1" applyFont="1" applyFill="1" applyBorder="1" applyAlignment="1">
      <alignment horizontal="left" vertical="center"/>
    </xf>
    <xf numFmtId="169" fontId="28" fillId="0" borderId="2" xfId="1" applyNumberFormat="1" applyFont="1" applyBorder="1" applyAlignment="1">
      <alignment horizontal="right" vertical="center" wrapText="1"/>
    </xf>
    <xf numFmtId="169" fontId="28" fillId="0" borderId="15" xfId="1" applyNumberFormat="1" applyFont="1" applyBorder="1" applyAlignment="1">
      <alignment horizontal="right" vertical="center" wrapText="1"/>
    </xf>
    <xf numFmtId="169" fontId="28" fillId="0" borderId="1" xfId="1" applyNumberFormat="1" applyFont="1" applyBorder="1" applyAlignment="1">
      <alignment horizontal="right" vertical="center" wrapText="1"/>
    </xf>
    <xf numFmtId="169" fontId="28" fillId="0" borderId="9" xfId="1" applyNumberFormat="1" applyFont="1" applyBorder="1" applyAlignment="1">
      <alignment horizontal="right" vertical="center" wrapText="1"/>
    </xf>
    <xf numFmtId="169" fontId="28" fillId="0" borderId="11" xfId="1" applyNumberFormat="1" applyFont="1" applyBorder="1" applyAlignment="1">
      <alignment horizontal="right" vertical="center" wrapText="1"/>
    </xf>
    <xf numFmtId="169" fontId="28" fillId="0" borderId="12" xfId="1" applyNumberFormat="1" applyFont="1" applyBorder="1" applyAlignment="1">
      <alignment horizontal="right" vertical="center" wrapText="1"/>
    </xf>
    <xf numFmtId="169" fontId="28" fillId="0" borderId="14" xfId="1" applyNumberFormat="1" applyFont="1" applyBorder="1" applyAlignment="1">
      <alignment horizontal="right" vertical="center" wrapText="1"/>
    </xf>
    <xf numFmtId="0" fontId="29" fillId="4" borderId="25" xfId="1" applyFont="1" applyFill="1" applyBorder="1" applyAlignment="1">
      <alignment horizontal="left" vertical="center"/>
    </xf>
    <xf numFmtId="169" fontId="28" fillId="0" borderId="19" xfId="1" applyNumberFormat="1" applyFont="1" applyBorder="1" applyAlignment="1">
      <alignment horizontal="right" vertical="center" wrapText="1"/>
    </xf>
    <xf numFmtId="169" fontId="28" fillId="0" borderId="26" xfId="1" applyNumberFormat="1" applyFont="1" applyBorder="1" applyAlignment="1">
      <alignment horizontal="right" vertical="center" wrapText="1"/>
    </xf>
    <xf numFmtId="169" fontId="28" fillId="0" borderId="27" xfId="1" applyNumberFormat="1" applyFont="1" applyBorder="1" applyAlignment="1">
      <alignment horizontal="right" vertical="center" wrapText="1"/>
    </xf>
    <xf numFmtId="169" fontId="28" fillId="0" borderId="6" xfId="1" applyNumberFormat="1" applyFont="1" applyBorder="1" applyAlignment="1">
      <alignment horizontal="right" vertical="center" wrapText="1"/>
    </xf>
    <xf numFmtId="169" fontId="28" fillId="0" borderId="25" xfId="1" applyNumberFormat="1" applyFont="1" applyBorder="1" applyAlignment="1">
      <alignment horizontal="right" vertical="center" wrapText="1"/>
    </xf>
    <xf numFmtId="169" fontId="28" fillId="0" borderId="28" xfId="1" applyNumberFormat="1" applyFont="1" applyBorder="1" applyAlignment="1">
      <alignment horizontal="right" vertical="center" wrapText="1"/>
    </xf>
    <xf numFmtId="169" fontId="28" fillId="0" borderId="29" xfId="1" applyNumberFormat="1" applyFont="1" applyBorder="1" applyAlignment="1">
      <alignment horizontal="right" vertical="center" wrapText="1"/>
    </xf>
    <xf numFmtId="169" fontId="28" fillId="0" borderId="4" xfId="1" applyNumberFormat="1" applyFont="1" applyBorder="1" applyAlignment="1">
      <alignment horizontal="right" vertical="center" wrapText="1"/>
    </xf>
    <xf numFmtId="0" fontId="51" fillId="0" borderId="0" xfId="1" applyFont="1" applyAlignment="1">
      <alignment vertical="center"/>
    </xf>
    <xf numFmtId="169" fontId="28" fillId="0" borderId="30" xfId="1" applyNumberFormat="1" applyFont="1" applyBorder="1" applyAlignment="1">
      <alignment horizontal="right" vertical="center" wrapText="1"/>
    </xf>
    <xf numFmtId="0" fontId="29" fillId="4" borderId="31" xfId="1" applyFont="1" applyFill="1" applyBorder="1" applyAlignment="1">
      <alignment horizontal="left" vertical="center"/>
    </xf>
    <xf numFmtId="169" fontId="28" fillId="0" borderId="10" xfId="1" applyNumberFormat="1" applyFont="1" applyBorder="1" applyAlignment="1">
      <alignment horizontal="right" vertical="center" wrapText="1"/>
    </xf>
    <xf numFmtId="169" fontId="28" fillId="0" borderId="7" xfId="1" applyNumberFormat="1" applyFont="1" applyBorder="1" applyAlignment="1">
      <alignment horizontal="right" vertical="center" wrapText="1"/>
    </xf>
    <xf numFmtId="169" fontId="28" fillId="0" borderId="5" xfId="1" applyNumberFormat="1" applyFont="1" applyBorder="1" applyAlignment="1">
      <alignment horizontal="right" vertical="center" wrapText="1"/>
    </xf>
    <xf numFmtId="169" fontId="28" fillId="0" borderId="22" xfId="1" applyNumberFormat="1" applyFont="1" applyBorder="1" applyAlignment="1">
      <alignment horizontal="right" vertical="center" wrapText="1"/>
    </xf>
    <xf numFmtId="0" fontId="43" fillId="4" borderId="0" xfId="1" applyFont="1" applyFill="1" applyAlignment="1">
      <alignment horizontal="left" vertical="center"/>
    </xf>
    <xf numFmtId="169" fontId="28" fillId="0" borderId="32" xfId="1" applyNumberFormat="1" applyFont="1" applyBorder="1" applyAlignment="1">
      <alignment horizontal="right" vertical="center" wrapText="1"/>
    </xf>
    <xf numFmtId="169" fontId="28" fillId="0" borderId="31" xfId="1" applyNumberFormat="1" applyFont="1" applyBorder="1" applyAlignment="1">
      <alignment horizontal="right" vertical="center" wrapText="1"/>
    </xf>
    <xf numFmtId="0" fontId="10" fillId="4" borderId="1" xfId="1" applyFont="1" applyFill="1" applyBorder="1" applyAlignment="1">
      <alignment horizontal="left" vertical="center"/>
    </xf>
    <xf numFmtId="0" fontId="10" fillId="4" borderId="2" xfId="1" applyFont="1" applyFill="1" applyBorder="1" applyAlignment="1">
      <alignment horizontal="left" vertical="center"/>
    </xf>
    <xf numFmtId="0" fontId="10" fillId="4" borderId="1" xfId="1" applyFont="1" applyFill="1" applyBorder="1" applyAlignment="1">
      <alignment horizontal="right" vertical="center"/>
    </xf>
    <xf numFmtId="0" fontId="10" fillId="4" borderId="2" xfId="1" applyFont="1" applyFill="1" applyBorder="1" applyAlignment="1">
      <alignment horizontal="right" vertical="center"/>
    </xf>
    <xf numFmtId="0" fontId="10" fillId="5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9" fillId="3" borderId="0" xfId="1" applyFont="1" applyFill="1" applyAlignment="1">
      <alignment horizontal="left" vertical="center" wrapText="1"/>
    </xf>
    <xf numFmtId="164" fontId="28" fillId="0" borderId="1" xfId="1" applyNumberFormat="1" applyFont="1" applyBorder="1" applyAlignment="1">
      <alignment horizontal="right" vertical="center" wrapText="1"/>
    </xf>
    <xf numFmtId="164" fontId="28" fillId="0" borderId="0" xfId="1" applyNumberFormat="1" applyFont="1" applyAlignment="1">
      <alignment horizontal="right" vertical="center" wrapText="1"/>
    </xf>
    <xf numFmtId="164" fontId="28" fillId="5" borderId="1" xfId="1" applyNumberFormat="1" applyFont="1" applyFill="1" applyBorder="1" applyAlignment="1">
      <alignment horizontal="right" vertical="center" wrapText="1"/>
    </xf>
    <xf numFmtId="164" fontId="28" fillId="5" borderId="0" xfId="1" applyNumberFormat="1" applyFont="1" applyFill="1" applyAlignment="1">
      <alignment horizontal="right" vertical="center" wrapText="1"/>
    </xf>
    <xf numFmtId="0" fontId="18" fillId="4" borderId="4" xfId="1" applyFont="1" applyFill="1" applyBorder="1" applyAlignment="1">
      <alignment horizontal="left" vertical="center" wrapText="1"/>
    </xf>
    <xf numFmtId="0" fontId="18" fillId="4" borderId="1" xfId="1" applyFont="1" applyFill="1" applyBorder="1" applyAlignment="1">
      <alignment horizontal="left" vertical="center" wrapText="1"/>
    </xf>
    <xf numFmtId="0" fontId="25" fillId="4" borderId="5" xfId="1" applyFont="1" applyFill="1" applyBorder="1" applyAlignment="1">
      <alignment horizontal="right" vertical="center"/>
    </xf>
    <xf numFmtId="0" fontId="25" fillId="4" borderId="0" xfId="1" applyFont="1" applyFill="1" applyAlignment="1">
      <alignment horizontal="right" vertical="center"/>
    </xf>
    <xf numFmtId="0" fontId="18" fillId="5" borderId="6" xfId="1" applyFont="1" applyFill="1" applyBorder="1" applyAlignment="1">
      <alignment horizontal="center" vertical="center" wrapText="1"/>
    </xf>
    <xf numFmtId="0" fontId="19" fillId="4" borderId="3" xfId="1" applyFont="1" applyFill="1" applyBorder="1" applyAlignment="1">
      <alignment horizontal="left" vertical="center" wrapText="1"/>
    </xf>
    <xf numFmtId="0" fontId="19" fillId="4" borderId="1" xfId="1" applyFont="1" applyFill="1" applyBorder="1" applyAlignment="1">
      <alignment horizontal="right" vertical="center" wrapText="1"/>
    </xf>
    <xf numFmtId="0" fontId="19" fillId="4" borderId="2" xfId="1" applyFont="1" applyFill="1" applyBorder="1" applyAlignment="1">
      <alignment horizontal="right" vertical="center" wrapText="1"/>
    </xf>
    <xf numFmtId="0" fontId="19" fillId="5" borderId="3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left" vertical="center" wrapText="1"/>
    </xf>
    <xf numFmtId="0" fontId="9" fillId="3" borderId="2" xfId="1" applyFont="1" applyFill="1" applyBorder="1" applyAlignment="1">
      <alignment vertical="center" wrapText="1"/>
    </xf>
    <xf numFmtId="0" fontId="30" fillId="4" borderId="3" xfId="1" applyFont="1" applyFill="1" applyBorder="1" applyAlignment="1">
      <alignment horizontal="left" vertical="center" wrapText="1"/>
    </xf>
    <xf numFmtId="0" fontId="26" fillId="5" borderId="3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center" wrapText="1"/>
    </xf>
    <xf numFmtId="0" fontId="30" fillId="6" borderId="1" xfId="1" applyFont="1" applyFill="1" applyBorder="1" applyAlignment="1">
      <alignment horizontal="justify" vertical="center"/>
    </xf>
    <xf numFmtId="0" fontId="30" fillId="6" borderId="0" xfId="1" applyFont="1" applyFill="1" applyAlignment="1">
      <alignment horizontal="justify" vertical="center"/>
    </xf>
    <xf numFmtId="0" fontId="26" fillId="5" borderId="8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4" fontId="16" fillId="0" borderId="0" xfId="1" applyNumberFormat="1" applyFont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41" fillId="0" borderId="0" xfId="1" applyFont="1" applyAlignment="1">
      <alignment horizontal="right" vertical="center" wrapText="1"/>
    </xf>
    <xf numFmtId="0" fontId="47" fillId="2" borderId="0" xfId="1" applyFont="1" applyFill="1" applyAlignment="1">
      <alignment horizontal="left" vertical="center" wrapText="1"/>
    </xf>
    <xf numFmtId="0" fontId="48" fillId="4" borderId="3" xfId="1" applyFont="1" applyFill="1" applyBorder="1" applyAlignment="1">
      <alignment horizontal="left" vertical="center"/>
    </xf>
    <xf numFmtId="0" fontId="49" fillId="10" borderId="1" xfId="1" applyFont="1" applyFill="1" applyBorder="1" applyAlignment="1">
      <alignment horizontal="left" vertical="center"/>
    </xf>
    <xf numFmtId="0" fontId="49" fillId="10" borderId="0" xfId="1" applyFont="1" applyFill="1" applyAlignment="1">
      <alignment horizontal="left" vertical="center"/>
    </xf>
    <xf numFmtId="0" fontId="48" fillId="5" borderId="3" xfId="1" applyFont="1" applyFill="1" applyBorder="1" applyAlignment="1">
      <alignment horizontal="center" vertical="center" wrapText="1"/>
    </xf>
    <xf numFmtId="0" fontId="48" fillId="4" borderId="3" xfId="1" applyFont="1" applyFill="1" applyBorder="1" applyAlignment="1">
      <alignment horizontal="left" vertical="center" wrapText="1"/>
    </xf>
    <xf numFmtId="0" fontId="48" fillId="4" borderId="1" xfId="1" applyFont="1" applyFill="1" applyBorder="1" applyAlignment="1">
      <alignment horizontal="right" vertical="center" wrapText="1"/>
    </xf>
    <xf numFmtId="0" fontId="48" fillId="4" borderId="2" xfId="1" applyFont="1" applyFill="1" applyBorder="1" applyAlignment="1">
      <alignment horizontal="right" vertical="center" wrapText="1"/>
    </xf>
    <xf numFmtId="0" fontId="48" fillId="6" borderId="2" xfId="1" applyFont="1" applyFill="1" applyBorder="1" applyAlignment="1">
      <alignment horizontal="left" vertical="center"/>
    </xf>
    <xf numFmtId="0" fontId="48" fillId="6" borderId="3" xfId="1" applyFont="1" applyFill="1" applyBorder="1" applyAlignment="1">
      <alignment horizontal="left" vertical="center"/>
    </xf>
    <xf numFmtId="0" fontId="31" fillId="6" borderId="3" xfId="1" applyFont="1" applyFill="1" applyBorder="1" applyAlignment="1">
      <alignment horizontal="left" vertical="center"/>
    </xf>
    <xf numFmtId="0" fontId="18" fillId="4" borderId="19" xfId="1" applyFont="1" applyFill="1" applyBorder="1" applyAlignment="1">
      <alignment horizontal="left" vertical="center" wrapText="1"/>
    </xf>
    <xf numFmtId="0" fontId="18" fillId="5" borderId="3" xfId="1" applyFont="1" applyFill="1" applyBorder="1" applyAlignment="1">
      <alignment horizontal="center" vertical="center" wrapText="1"/>
    </xf>
    <xf numFmtId="0" fontId="28" fillId="5" borderId="0" xfId="1" applyFont="1" applyFill="1" applyAlignment="1">
      <alignment horizontal="right" vertical="center" wrapText="1"/>
    </xf>
    <xf numFmtId="0" fontId="2" fillId="0" borderId="0" xfId="1" applyFont="1" applyAlignment="1">
      <alignment horizontal="center" vertical="center"/>
    </xf>
    <xf numFmtId="0" fontId="9" fillId="3" borderId="0" xfId="1" applyFont="1" applyFill="1" applyAlignment="1">
      <alignment vertical="center" wrapText="1"/>
    </xf>
    <xf numFmtId="0" fontId="18" fillId="4" borderId="7" xfId="1" applyFont="1" applyFill="1" applyBorder="1" applyAlignment="1">
      <alignment horizontal="left" vertical="center" wrapText="1"/>
    </xf>
    <xf numFmtId="0" fontId="18" fillId="4" borderId="1" xfId="1" applyFont="1" applyFill="1" applyBorder="1" applyAlignment="1">
      <alignment horizontal="right" vertical="center" wrapText="1"/>
    </xf>
    <xf numFmtId="0" fontId="18" fillId="4" borderId="2" xfId="1" applyFont="1" applyFill="1" applyBorder="1" applyAlignment="1">
      <alignment horizontal="right" vertical="center" wrapText="1"/>
    </xf>
    <xf numFmtId="0" fontId="18" fillId="5" borderId="1" xfId="1" applyFont="1" applyFill="1" applyBorder="1" applyAlignment="1">
      <alignment horizontal="center" vertical="center" wrapText="1"/>
    </xf>
    <xf numFmtId="0" fontId="43" fillId="4" borderId="3" xfId="1" applyFont="1" applyFill="1" applyBorder="1" applyAlignment="1">
      <alignment horizontal="left" vertical="center" wrapText="1"/>
    </xf>
    <xf numFmtId="0" fontId="43" fillId="4" borderId="1" xfId="1" applyFont="1" applyFill="1" applyBorder="1" applyAlignment="1">
      <alignment horizontal="left" vertical="center" wrapText="1"/>
    </xf>
    <xf numFmtId="0" fontId="43" fillId="5" borderId="19" xfId="1" applyFont="1" applyFill="1" applyBorder="1" applyAlignment="1">
      <alignment horizontal="center" vertical="center" wrapText="1"/>
    </xf>
    <xf numFmtId="0" fontId="43" fillId="5" borderId="1" xfId="1" applyFont="1" applyFill="1" applyBorder="1" applyAlignment="1">
      <alignment horizontal="center" vertical="center" wrapText="1"/>
    </xf>
    <xf numFmtId="0" fontId="43" fillId="5" borderId="3" xfId="1" applyFont="1" applyFill="1" applyBorder="1" applyAlignment="1">
      <alignment horizontal="center" vertical="center" wrapText="1"/>
    </xf>
    <xf numFmtId="0" fontId="43" fillId="5" borderId="13" xfId="1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left" vertical="center" wrapText="1"/>
    </xf>
  </cellXfs>
  <cellStyles count="5">
    <cellStyle name="Dziesiętny 2" xfId="2" xr:uid="{540F58A7-B93E-48F5-8DA5-889C5F5F0455}"/>
    <cellStyle name="Normal 2" xfId="3" xr:uid="{295B1EF0-74AB-4933-A6B4-C6A70A4DCFC9}"/>
    <cellStyle name="Normalny" xfId="0" builtinId="0"/>
    <cellStyle name="Normalny 2" xfId="1" xr:uid="{75F4A319-824C-41FA-9CE8-434B06027F13}"/>
    <cellStyle name="Normalny_04 SSF PJP 31-12-2006 AP" xfId="4" xr:uid="{3F586C28-F5C6-4B57-967F-77BA96BD9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63" Type="http://schemas.openxmlformats.org/officeDocument/2006/relationships/styles" Target="styles.xml"/><Relationship Id="rId68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61" Type="http://schemas.openxmlformats.org/officeDocument/2006/relationships/externalLink" Target="externalLinks/externalLink5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customXml" Target="../customXml/item1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382052</xdr:colOff>
      <xdr:row>87</xdr:row>
      <xdr:rowOff>52552</xdr:rowOff>
    </xdr:from>
    <xdr:to>
      <xdr:col>1</xdr:col>
      <xdr:colOff>515774</xdr:colOff>
      <xdr:row>87</xdr:row>
      <xdr:rowOff>154480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1711112-5F7A-43B9-9905-EF33F5857870}"/>
            </a:ext>
          </a:extLst>
        </xdr:cNvPr>
        <xdr:cNvSpPr txBox="1"/>
      </xdr:nvSpPr>
      <xdr:spPr>
        <a:xfrm>
          <a:off x="4125377" y="16549852"/>
          <a:ext cx="133722" cy="101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1517162</xdr:colOff>
      <xdr:row>74</xdr:row>
      <xdr:rowOff>177168</xdr:rowOff>
    </xdr:from>
    <xdr:to>
      <xdr:col>0</xdr:col>
      <xdr:colOff>1943145</xdr:colOff>
      <xdr:row>78</xdr:row>
      <xdr:rowOff>122071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A453373-67C8-4FEC-A28D-AEA48D2E7967}"/>
            </a:ext>
          </a:extLst>
        </xdr:cNvPr>
        <xdr:cNvSpPr txBox="1"/>
      </xdr:nvSpPr>
      <xdr:spPr>
        <a:xfrm rot="10229426">
          <a:off x="1517162" y="13226418"/>
          <a:ext cx="425983" cy="7069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627063</xdr:colOff>
      <xdr:row>20</xdr:row>
      <xdr:rowOff>98424</xdr:rowOff>
    </xdr:from>
    <xdr:to>
      <xdr:col>8</xdr:col>
      <xdr:colOff>39689</xdr:colOff>
      <xdr:row>21</xdr:row>
      <xdr:rowOff>134937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9BC0B35-CDFB-425C-9D07-D3E3FD9FE7DC}"/>
            </a:ext>
          </a:extLst>
        </xdr:cNvPr>
        <xdr:cNvSpPr txBox="1"/>
      </xdr:nvSpPr>
      <xdr:spPr>
        <a:xfrm>
          <a:off x="8466138" y="4556124"/>
          <a:ext cx="41276" cy="2460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556144</xdr:colOff>
      <xdr:row>85</xdr:row>
      <xdr:rowOff>156094</xdr:rowOff>
    </xdr:from>
    <xdr:to>
      <xdr:col>6</xdr:col>
      <xdr:colOff>406977</xdr:colOff>
      <xdr:row>87</xdr:row>
      <xdr:rowOff>112568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1FC441D1-79D6-40DD-BC94-945086D3EF38}"/>
            </a:ext>
          </a:extLst>
        </xdr:cNvPr>
        <xdr:cNvSpPr txBox="1"/>
      </xdr:nvSpPr>
      <xdr:spPr>
        <a:xfrm>
          <a:off x="7309369" y="14024494"/>
          <a:ext cx="1422458" cy="375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289892</xdr:colOff>
      <xdr:row>36</xdr:row>
      <xdr:rowOff>99391</xdr:rowOff>
    </xdr:from>
    <xdr:to>
      <xdr:col>2</xdr:col>
      <xdr:colOff>240196</xdr:colOff>
      <xdr:row>38</xdr:row>
      <xdr:rowOff>223630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8BD0A828-EAF7-4DBC-960D-516C0781A025}"/>
            </a:ext>
          </a:extLst>
        </xdr:cNvPr>
        <xdr:cNvSpPr txBox="1"/>
      </xdr:nvSpPr>
      <xdr:spPr>
        <a:xfrm>
          <a:off x="3537917" y="9214816"/>
          <a:ext cx="731354" cy="5814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GAMxFiles\2cs65wadbnn6yw2uhyyq83n2npxcpacwpxhhvuaup5mqsj5by3u2\pa&#378;%207%2013\63af54d5525c4630b108f26878691553\1)%20PBC\3_SPRAWOZDANIE_FINANSOWE_2013_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GAMxFiles\2cs65wadbnn6yw2uhyyq83n2npxcpacwpxhhvuaup5mqsj5by3u2\pa&#378;%207%2013\63af54d5525c4630b108f26878691553\PERN\pbc\3_SPRAWOZDANIE_FINANSOWE_2012_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agdalena.Gorska\Desktop\PROJEKTY\PERN\FINAL\PBC\pbc%206.02.2012\3_SPRAWOZDANIE_FINANSOWE_2011_V_z_25_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amcentral.sbdinc.com/Documents%20and%20Settings/SJPARK.CORPAOK01/My%20Documents/SALES/STYLE%20ANALYSIS%20REPORTS/Aristokraft%20Syle%20Analysis%20-%20July%2020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Ozarow\obroty_co_200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illeron-my.sharepoint.com/99EF90E4/Kopia%20Audyt-Pro%205.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ERN_2009\2_SPRAWOZDANIE_FINANSOWE_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prawozdanie$\SPRAWOZD_SKONSOLIDOWANE\2007R\PERN_2007\1_ZATWIERDZ_SPRAW_FINANS_%202007\2231.3%20Sprawozdanie%20finansowe%20PERN%20Przyjazn%20SA%20-2007%20PBC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https://softwaremind-my.sharepoint.com/Users/Barbara%20Jamr&#243;z/AppData/Local/Microsoft/Windows/INetCache/Content.Outlook/9FYT0FUU/Akson/Befado/Befado/DO%20BADANIA%202008/DO%20BADANIA%202008/sprawozdania%20finansowe/REWIT%20-%20Spr.Fin.%20ver.%201.1%20po%20zmianach%20AP.xls?D5499A0A" TargetMode="External"/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Anna.Sybilska\Desktop\Z&#322;ote%20tarasy\Leady\08%20Leady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wioleta.miodek\AppData\Local\Microsoft\Windows\INetCache\Content.Outlook\ZZSPZTY9\Kopia%20Financial%20Exposure%20Report%202018-05-31%20(002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87243D5\Oddzial1_9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notesFFF692\Kopia%20SF_Word-ExcelSprawozdanie%202011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Ozarow\FM%20info\CO%20bscrh%20200x%20b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monthly%20report%20apri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-A-MLYNARSKI\aws\Documents%20and%20Settings\ANDRZEJEWSKIP\Local%20Settings\Temporary%20Internet%20Files\OLK16\38476792704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gdalena.kusmierska\Desktop\JOBY%202017\!%20UTA\Cash%20flow\18%20UTA%20Cash%20Flow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gdalena.kusmierska\Documents\CanvasDocHelper\Evidence\08eac0d830d343b88aac7064df8301e8\18%20UTA%20Merger%20TC%20&amp;%20UTA%20Polska_EY%20Summary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434765\PP_SAR9812czerwc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rcin.kucharski\AppData\Local\Temp\CanvasEvidence\3b92094c85a642829cfe9aa0e61a584c\Read%20Only%20-%2017%20UTA%20Polska%20SF%202017%20v180518~tmp2113082202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wioleta.miodek\AppData\Local\Temp\CanvasEvidence\b94ecc89d06b49309852fe28fd86a859\Read%20Only%20-%2019%20TRZ%20Financial_Accounts_Report_S_FA_19~tmp29201359284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epych\CloudStation\!documents\TIMEX%20CARD\ZAMKNI&#280;CIE%202017%20lokalnie\SF%20Timex%20Card%20PL%202017%20%20jedn\BILANS%20TIMEX%20CARD%202017%20PL%20v18061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gdalena.kusmierska\Documents\CanvasDocHelper\Evidence\8b5f6bcda8d34a1ba309f4f72282e021\18%20UTA%20_SF%20UTA%20Polska%20na%20dzie&#324;%20po&#322;&#261;czenia%2002.10.2018_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gdalena.kusmierska\Documents\CanvasDocHelper\Evidence\c5fdf202cf0841779ad89840d7ee1ab2\18%20UTA%20Polska_Monthly%20Review%20stycze&#324;%20-%20wrzesie&#324;%202018_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wa\reporting\konsolidacja%202010%2012\HCP%20FIN%2012%2020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GAMxFiles\5mt9br2md2nipf45z245cgu6rmwwwby6uwr5g7a6enq8n5pynxa2\kwi%201%2010\6909cf18959741f0b25f85c5ea137d21\12_09%20PL%20TB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OMAS2\SYS\Moje%20dokumenty\TBWA\_Pilne.!!!\GEERS\Bilans98\BIL_98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gdalena.kusmierska\Desktop\JOBY%202019\!!!%20Cement%20O&#380;ar&#243;w\!!!STD%20YE\General%20Ledger%20Analyzer%20Template1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uszynska\AppData\Local\Microsoft\Windows\Temporary%20Internet%20Files\Content.Outlook\PJPMM7R3\Financial%20Template_PLAME_1203%20(3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zczypinskim\My%20Documents\Moja%20praca\TPSA\2001\Year%20end\SAR%202001\SAP%202001\Polish\DATA\CLIENTS\TPSA\1999\Statutory_1999\Reports\Sar\Final%20report\Polish\WINDOWS\TEMP\SAR_PP_96_98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RLEWAN~1\LOCALS~1\Temp\Rar$DI00.641\PCP%20-%20August'0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uszynska\AppData\Local\Microsoft\Windows\Temporary%20Internet%20Files\Content.Outlook\X42CN6L9\Financial%20Template_PLAME_120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gdalena.kusmierska\Desktop\JOBY%202017\!%20UTA\SF%20do%20badania\SF%20TCALL%20&#321;&#260;CZNE%202018%20v190325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epych\CloudStation\!documents\Sprawozdania%20finansowe%20robocze\UTA%20spzoo\SF%20TC%202017%20&#322;&#261;czne\TC%20SF%20&#321;&#260;CZNE%202017%20v180907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GAMxFiles\8cbsfnan4wjhrk5anpk5gufpd4rjv88km27cigaecu667xkdskgc\kwi%2021%2009\ebbb55a1203440e5a1a5e030c234646c\Nale&#380;no&#347;ci_pkt.1_ZT-RE_Outstanding_Report_311208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marcin.kucharski\Desktop\masterfile\done\17%20Konsalnet%20Cash%20Management%20Master%20File%20v5.3.xlsm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KTIER\1999\Avst&#228;mning\IB%201999\Koncernen%20-%20&#246;vriga%20IB%2099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SI&#280;GOWO&#346;&#262;%20TC\DELOITTE%20net%20cash\20180322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bi.pern.com.pl\sprawozdanie$\DAU\ratajczak\Pakiet%20konsol%200.6.2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Magdalena.Gorska\Desktop\PROJEKTY\PERN\FINAL\PBC\pbc%206.02.2012\WZ&#211;R_bilans_elektr_12_2011_do_badania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\pl\Raporty\SAL\Salesownica_Kujawiak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ZFS4001\VOL1\MOJE2\FIBU\CASH\CASH1997.XLS" TargetMode="External"/></Relationships>
</file>

<file path=xl/externalLinks/_rels/externalLink5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2_Y/SSF_pliki_final_doc_pdf_xhtml/Ailleron_SA_SSF_2022%2020230427%20final.xlsx" TargetMode="External"/><Relationship Id="rId1" Type="http://schemas.openxmlformats.org/officeDocument/2006/relationships/externalLinkPath" Target="/sites/IR/Shared%20Documents/Gie&#322;da/raporty%20okresowe/2022_Y/SSF_pliki_final_doc_pdf_xhtml/Ailleron_SA_SSF_2022%2020230427%20final.xlsx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2_Y/JSF_pliki_final_doc_pdf_xhtml/Ailleron_SA_JSF_2022%2020230427%20final.xlsx" TargetMode="External"/><Relationship Id="rId1" Type="http://schemas.openxmlformats.org/officeDocument/2006/relationships/externalLinkPath" Target="/sites/IR/Shared%20Documents/Gie&#322;da/raporty%20okresowe/2022_Y/JSF_pliki_final_doc_pdf_xhtml/Ailleron_SA_JSF_2022%2020230427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_T"/>
      <sheetName val="D_wstępne"/>
      <sheetName val="Aktywa"/>
      <sheetName val="Pasywa"/>
      <sheetName val="P&amp;L"/>
      <sheetName val="Przepływy"/>
      <sheetName val="ZZwKW"/>
      <sheetName val="Spis_not"/>
      <sheetName val="N_1-30A"/>
      <sheetName val="N_31-55"/>
      <sheetName val="N_56-67"/>
      <sheetName val="SF1"/>
      <sheetName val="SF2"/>
      <sheetName val="SF"/>
      <sheetName val="RP"/>
      <sheetName val="CF2"/>
      <sheetName val="DP"/>
      <sheetName val="RZiS"/>
      <sheetName val="Bilans"/>
      <sheetName val="Wsk"/>
      <sheetName val="Instrukcja"/>
      <sheetName val="a_tech"/>
      <sheetName val="sap_b"/>
      <sheetName val="sap_p&amp;l"/>
      <sheetName val="Arkusz1"/>
      <sheetName val="Arkusz2"/>
      <sheetName val="Arkusz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_T"/>
      <sheetName val="D_wstępne"/>
      <sheetName val="Aktywa"/>
      <sheetName val="Pasywa"/>
      <sheetName val="P&amp;L"/>
      <sheetName val="Przepływy"/>
      <sheetName val="ZZwKW"/>
      <sheetName val="Spis_not"/>
      <sheetName val="N_1-30A"/>
      <sheetName val="N_31-55"/>
      <sheetName val="N_56-67"/>
      <sheetName val="SF1"/>
      <sheetName val="SF2"/>
      <sheetName val="SF"/>
      <sheetName val="RP"/>
      <sheetName val="CF2"/>
      <sheetName val="DP"/>
      <sheetName val="RZiS"/>
      <sheetName val="Bilans"/>
      <sheetName val="Wsk"/>
      <sheetName val="Instrukcja"/>
      <sheetName val="a_tech"/>
      <sheetName val="sap_b"/>
      <sheetName val="sap_p&amp;l"/>
      <sheetName val="Arkusz1"/>
      <sheetName val="Arkusz2"/>
      <sheetName val="Arkusz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Sheet1"/>
      <sheetName val="?d?l?? (full-SUV)"/>
      <sheetName val="表5-2 地区別CO2排出実績"/>
      <sheetName val="_d_l__ (full-SUV)"/>
      <sheetName val="総合B"/>
      <sheetName val="??・??×?"/>
      <sheetName val="MOTO"/>
      <sheetName val="Sheet2"/>
      <sheetName val="Sheet3"/>
      <sheetName val="日程"/>
      <sheetName val="進め方"/>
      <sheetName val="MPL 技連"/>
      <sheetName val="342E BLOCK"/>
      <sheetName val="__・__×_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PARAMETRES"/>
      <sheetName val="ＢＭＰ塗装直材"/>
      <sheetName val="生涯利益計画ｼｰﾄ"/>
      <sheetName val="Prm"/>
      <sheetName val="MM利益・原価企画方針書ｶｸ１"/>
      <sheetName val="5.1. Volume assumptions"/>
      <sheetName val="PathAndInfo"/>
      <sheetName val="ÔïWñ"/>
      <sheetName val="PROD2"/>
      <sheetName val="ES3"/>
      <sheetName val="391.各"/>
      <sheetName val="90檢討稿_實際"/>
      <sheetName val="0397NNA"/>
      <sheetName val="Europe PU-1"/>
      <sheetName val="Customer input"/>
      <sheetName val="計算ｼｰﾄ"/>
      <sheetName val="ŽÔ‰ïW–ñ"/>
      <sheetName val="resume"/>
      <sheetName val="WEIGHT"/>
      <sheetName val="NYTO-model"/>
      <sheetName val="Destination Table"/>
      <sheetName val="(1b)Company"/>
      <sheetName val="(4A)J-Market"/>
      <sheetName val="(10) ProdType"/>
      <sheetName val="FR管理工程図"/>
      <sheetName val="試作工"/>
      <sheetName val="99年度原単位"/>
      <sheetName val="menu"/>
      <sheetName val="RD제품개발투자비(매가)"/>
      <sheetName val="外表面Ａ"/>
      <sheetName val="DIEZEL動弁相場"/>
      <sheetName val="管理_目_度表"/>
      <sheetName val="销售收入A4"/>
      <sheetName val="集計ﾘｽﾄ"/>
      <sheetName val="過不足ﾏﾄﾒ"/>
      <sheetName val="新目標"/>
      <sheetName val="14mmQfup"/>
      <sheetName val="ﾊﾞﾙﾌﾞﾘｰｸ"/>
      <sheetName val="FR FDR W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基準ﾘｽﾄ"/>
      <sheetName val="A"/>
      <sheetName val="人工成本(铸造+机加)"/>
      <sheetName val="树脂涂装9月"/>
      <sheetName val="月报表"/>
      <sheetName val="星取表"/>
      <sheetName val="まとめ"/>
      <sheetName val="094_APP別"/>
      <sheetName val="99buddepr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Index"/>
      <sheetName val="Ref"/>
      <sheetName val="BOM系"/>
      <sheetName val="TM"/>
      <sheetName val="幵夛廤栺"/>
      <sheetName val="ＨＸ準備費一覧"/>
      <sheetName val="HS HB NE dr 1"/>
      <sheetName val="IP標時xls"/>
      <sheetName val="ﾄﾞｶ停全体"/>
      <sheetName val="总公司2002.12.31"/>
      <sheetName val="QR20-1101"/>
      <sheetName val="Exceptions"/>
      <sheetName val="주행"/>
      <sheetName val="12月 原 "/>
      <sheetName val="0409"/>
      <sheetName val="F4301"/>
      <sheetName val="見積依頼部品一覧"/>
      <sheetName val="M5A0_01-01-22"/>
      <sheetName val="9月存货分析"/>
      <sheetName val="管理图五"/>
      <sheetName val="REN"/>
      <sheetName val="Sheet_Name_List"/>
      <sheetName val="間接員勤務"/>
      <sheetName val="ﾋﾟﾆｵﾝｾﾝｻ1万"/>
      <sheetName val="KD前提工順"/>
      <sheetName val="CKW1"/>
      <sheetName val="正転トルク"/>
      <sheetName val="詳細図2（車体）"/>
      <sheetName val="作業指示系"/>
      <sheetName val="通知系"/>
      <sheetName val="段ﾎﾞｰﾙ箱図番･荷姿ｺｰﾄﾞ"/>
      <sheetName val="Base"/>
      <sheetName val="管理项痮迗度表"/>
      <sheetName val="車体構成"/>
      <sheetName val="Range"/>
      <sheetName val="折线图"/>
      <sheetName val="BS1"/>
      <sheetName val="試作DPロット日程"/>
      <sheetName val="#REF!"/>
      <sheetName val="零件目标消耗差异率"/>
      <sheetName val="B_S"/>
      <sheetName val="既定値"/>
      <sheetName val="SYS검토(1A1)"/>
      <sheetName val="星取・"/>
      <sheetName val="P1 Spec of gauge(Japanese)"/>
      <sheetName val="P2 Fastening Point 1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COSTES NMUK"/>
      <sheetName val="右"/>
      <sheetName val="8分析1"/>
      <sheetName val="040 適用車種コード情報"/>
      <sheetName val="前提"/>
      <sheetName val="(9A) J-Market 041902"/>
      <sheetName val="CALIFMAGNO"/>
      <sheetName val="Budget&amp;Actual"/>
      <sheetName val="X-R"/>
      <sheetName val="RESUMEN"/>
      <sheetName val="1、费用分类说明"/>
      <sheetName val="制造费用表"/>
      <sheetName val="Nissan YTD"/>
      <sheetName val="IRR比較"/>
      <sheetName val="工艺问题汇总"/>
      <sheetName val="5封面"/>
      <sheetName val="步行图MP"/>
      <sheetName val="roadmap U-van"/>
      <sheetName val="日産ｺﾓﾝR"/>
      <sheetName val="国内+欧州"/>
      <sheetName val="R-1.6 2・900 E370"/>
      <sheetName val="過去履歴"/>
      <sheetName val="4-货币资金-现金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万年历"/>
      <sheetName val="Recommend"/>
      <sheetName val="★支給品_調査_3"/>
      <sheetName val="索赔（按车型）A4"/>
      <sheetName val="3、投资管理指标实绩"/>
      <sheetName val="10年度管理图表 "/>
      <sheetName val="ETRS"/>
      <sheetName val="2-国内培训明细表"/>
      <sheetName val="3-出国（境）培训明细表"/>
      <sheetName val="封面"/>
      <sheetName val="‚a‚l‚o“h‘•’¼Þ"/>
      <sheetName val="標時"/>
      <sheetName val="Nissan Backup"/>
      <sheetName val="EUR"/>
      <sheetName val="数据源 2013年"/>
      <sheetName val="block ﾜｺﾞﾝ"/>
      <sheetName val="ES4"/>
      <sheetName val="Balance Sheet"/>
      <sheetName val="投資目的"/>
      <sheetName val="SCH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_wstępne"/>
      <sheetName val="Aktywa"/>
      <sheetName val="Pasywa"/>
      <sheetName val="P&amp;L"/>
      <sheetName val="Przepływy"/>
      <sheetName val="ZZwKW"/>
      <sheetName val="Spis_not"/>
      <sheetName val="N_1-30A"/>
      <sheetName val="N_31-55"/>
      <sheetName val="N_56-67"/>
      <sheetName val="SF1"/>
      <sheetName val="SF2"/>
      <sheetName val="SF"/>
      <sheetName val="RP"/>
      <sheetName val="CF2"/>
      <sheetName val="DP"/>
      <sheetName val="RZiS"/>
      <sheetName val="Bilans"/>
      <sheetName val="Wsk"/>
      <sheetName val="Instrukcja"/>
      <sheetName val="a_tech"/>
      <sheetName val="sap_b"/>
      <sheetName val="sap_p&amp;l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yle analysis"/>
      <sheetName val="Product Performance"/>
      <sheetName val="Contractor's Choice"/>
      <sheetName val="Data"/>
      <sheetName val="style_analysis"/>
      <sheetName val="Product_Performance"/>
      <sheetName val="Contractor's_Cho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roty 1200"/>
      <sheetName val="obroty 0101"/>
      <sheetName val="obroty 0201"/>
      <sheetName val="obroty 0301"/>
      <sheetName val="obroty 0401"/>
      <sheetName val="obroty 0501"/>
      <sheetName val="obroty 0601"/>
      <sheetName val="obroty 0701"/>
      <sheetName val="obroty 0801"/>
      <sheetName val="obroty 0901"/>
      <sheetName val="obroty 1001"/>
      <sheetName val="obroty 1101"/>
      <sheetName val="obroty 1201"/>
      <sheetName val="obroty 0102"/>
      <sheetName val="obroty 0202"/>
      <sheetName val="obroty 0302"/>
      <sheetName val="obroty 0402"/>
      <sheetName val="obroty 0502"/>
      <sheetName val="obroty 0602"/>
      <sheetName val="obroty 0702"/>
      <sheetName val="obroty 0802"/>
      <sheetName val="obroty 0902"/>
      <sheetName val="obroty 1002"/>
      <sheetName val="obroty 1102"/>
      <sheetName val="obroty 1202"/>
      <sheetName val="obroty 0103"/>
      <sheetName val="obroty 0203"/>
      <sheetName val="obroty 0303"/>
      <sheetName val="obroty 0403"/>
      <sheetName val="obroty 0503"/>
      <sheetName val="obroty 0603"/>
      <sheetName val="obroty 0703"/>
      <sheetName val="obroty 0803"/>
      <sheetName val="obroty 0903"/>
      <sheetName val="obroty 1003"/>
      <sheetName val="obroty 11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"/>
      <sheetName val="AP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s-aktywa"/>
      <sheetName val="Bilans-pasywa"/>
      <sheetName val="P&amp;L"/>
      <sheetName val="Przepływy"/>
      <sheetName val="Zmiany w kapitale"/>
      <sheetName val="Noty 1-30A"/>
      <sheetName val="Noty 31-55"/>
      <sheetName val="Noty 56-67"/>
      <sheetName val="Zielone zakl  - arkusze tech."/>
      <sheetName val="Instrukcja"/>
      <sheetName val="Indeks"/>
      <sheetName val="SF1"/>
      <sheetName val="SF"/>
      <sheetName val="SF2"/>
      <sheetName val="RP"/>
      <sheetName val="CF2"/>
      <sheetName val="DP"/>
      <sheetName val="RZiS"/>
      <sheetName val="Bilans"/>
      <sheetName val="W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s-aktywa"/>
      <sheetName val="Bilans-pasywa"/>
      <sheetName val="P&amp;L"/>
      <sheetName val="Przepływy"/>
      <sheetName val="Zmiany w kapitale"/>
      <sheetName val="Noty 1-30A"/>
      <sheetName val="Noty 31-55"/>
      <sheetName val="Noty 56-67"/>
      <sheetName val="Zielone zakl  - arkusze tech."/>
      <sheetName val="Instrukcja"/>
      <sheetName val="Indeks"/>
      <sheetName val="SF1"/>
      <sheetName val="SF2"/>
      <sheetName val="SF"/>
      <sheetName val="RP"/>
      <sheetName val="CF2"/>
      <sheetName val="DP"/>
      <sheetName val="RZiS"/>
      <sheetName val="Bilans"/>
      <sheetName val="W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INGGA 10.2008"/>
      <sheetName val="REPLOKAL 10.2008"/>
      <sheetName val="POLAND Detailed Alt Accnt in PL"/>
      <sheetName val="Establishment costs"/>
      <sheetName val="Equity"/>
      <sheetName val="Liabilities"/>
      <sheetName val="Deposits"/>
      <sheetName val="CAPEX"/>
      <sheetName val="Fixed Assets"/>
      <sheetName val="Financial costs"/>
      <sheetName val="Operating costs"/>
      <sheetName val="Sales"/>
      <sheetName val="Impai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rpose, definitions"/>
      <sheetName val="Instruction "/>
      <sheetName val="Frontpage Sum, report currency "/>
      <sheetName val="Assets Input Sheet (monthly)"/>
      <sheetName val="Liabilities Input Sheet (Q)"/>
      <sheetName val="Lists"/>
      <sheetName val="FORMULA CALCULATIONS"/>
      <sheetName val="Currency rates"/>
      <sheetName val="Module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r"/>
      <sheetName val="Spis"/>
      <sheetName val="arkusz sprawdzający"/>
      <sheetName val="Korekty"/>
      <sheetName val="SA_R"/>
      <sheetName val="T1"/>
      <sheetName val="T2"/>
      <sheetName val="T1-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zwaSpółki"/>
      <sheetName val="Data"/>
      <sheetName val="Informacje Ogólne"/>
      <sheetName val="Menu"/>
      <sheetName val="Check"/>
      <sheetName val="Obrotówka"/>
      <sheetName val="BilansAktywa1"/>
      <sheetName val="BilansAktywa2"/>
      <sheetName val="BilansPasywa"/>
      <sheetName val="RachunekWynikówPorównawczy"/>
      <sheetName val="CashFlowMetodaPośrednia1"/>
      <sheetName val="CashFlowMetodaPośrednia2"/>
      <sheetName val="ZestawienieZmianWKapitale1"/>
      <sheetName val="ZestawienieZmianWKapitale2"/>
      <sheetName val="KursyWymianyWalutObcych"/>
      <sheetName val="WartościNiematerialneIPrawne"/>
      <sheetName val="RzeczoweAktywaTrwałe"/>
      <sheetName val="InwestycjeDługoterminowe"/>
      <sheetName val="OdpisyAktual.WartośćNależności"/>
      <sheetName val="RMKCzynne"/>
      <sheetName val="KapitałZakładowy"/>
      <sheetName val="ZobowiązaniaDługoterminowe"/>
      <sheetName val="WykazZobowZabezpNaMajątku"/>
      <sheetName val="KosztyWgRodzaju"/>
      <sheetName val="ZyskiNadzwyczajne"/>
      <sheetName val="StratyNadzwyczajne"/>
      <sheetName val="RozliczeniaMiędzyokresowe"/>
      <sheetName val="PodatekDochodowy"/>
      <sheetName val="PodatekDochodowyOdroczony"/>
      <sheetName val="StrukturaŚrodkówPieniężnych"/>
      <sheetName val="UzgodnieniePrzepływówPieniężn."/>
      <sheetName val="Zatrudnienie"/>
      <sheetName val="WynagrodzenieRNiZarządu"/>
      <sheetName val="InwestycjeKrótkoterminowe"/>
      <sheetName val="AktywaFinansowe"/>
      <sheetName val="OprocKredytyBankIPożyczki"/>
      <sheetName val="Rezerwy"/>
      <sheetName val="AktywaIZobowiązaniaSocjalne"/>
      <sheetName val="UjemnaWartośćFirmy"/>
      <sheetName val="StrukturaRzeczITerytSprzed"/>
      <sheetName val="OdpisyAktWartŚT"/>
      <sheetName val="ZapasyWCenieNetto"/>
      <sheetName val="PozostałePrzychodyOperacyjne"/>
      <sheetName val="PozostałeKosztyOperacyjne"/>
      <sheetName val="PrzychodyFinansowe"/>
      <sheetName val="KosztyFinansowe"/>
      <sheetName val="KosztWytworzeniaŚTWBudowie"/>
      <sheetName val="ZmianaStanuNależnościWRPP"/>
      <sheetName val="ZmianaStanuZobowiązańWRPP"/>
      <sheetName val="ZmianaStanuRozlMiędzWRPP"/>
      <sheetName val="ZmianaStanuZapasówWRPP"/>
      <sheetName val="InfOWynagrBiegłegoRewidenta"/>
      <sheetName val="InfOPożOrgZarzNadzIAdm"/>
      <sheetName val="WspPrzedNiepodlKonsolidacji"/>
      <sheetName val="PodmiotDominujący"/>
      <sheetName val="PodmZalWspółzalStowarzyszone"/>
      <sheetName val="PodmPodWspKontroląPodDom"/>
      <sheetName val="InnePodmiotyPowiązane"/>
      <sheetName val="UdziałWKapitale"/>
      <sheetName val="OdstąpienieOdSkonsolidSF"/>
      <sheetName val="PołączenieSHMetodaNabycia"/>
      <sheetName val="PołączenieSHMetodaŁączUdział"/>
      <sheetName val="PrzychodyIKosztyOdsetkowe"/>
      <sheetName val="InstrFinans2011"/>
      <sheetName val="InstrFinans2010"/>
      <sheetName val="ZmWKapitaleZAktWycIF"/>
      <sheetName val="WartośćGodziwaIF"/>
      <sheetName val="ŚrKursWymKontraktTerm2011"/>
      <sheetName val="ŚrKursWymKontraktTerm2010"/>
      <sheetName val="RuchWKapitałachSpółki2011"/>
      <sheetName val="RuchWKapitałachSpółki2010"/>
      <sheetName val="WartośćFirmy"/>
      <sheetName val="Arkusz1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roty 0103"/>
      <sheetName val="obroty 0203"/>
      <sheetName val="obroty 0303"/>
      <sheetName val="obroty 0403"/>
      <sheetName val="obroty 0503"/>
      <sheetName val="obroty 0603"/>
      <sheetName val="obroty 0703"/>
      <sheetName val="obroty 0803"/>
      <sheetName val="obroty 0903"/>
      <sheetName val="obroty 1003"/>
      <sheetName val="obroty 1103"/>
      <sheetName val="obroty 1203"/>
      <sheetName val="obroty 0104"/>
      <sheetName val="obroty 0204"/>
      <sheetName val="obroty 0304"/>
      <sheetName val="obroty 0404"/>
      <sheetName val="obroty 0504"/>
      <sheetName val="obroty 0604"/>
      <sheetName val="obroty 0704"/>
      <sheetName val="obroty 0804"/>
      <sheetName val="obroty 0904"/>
      <sheetName val="obroty 1004"/>
      <sheetName val="obroty 1104"/>
      <sheetName val="obroty 1204"/>
      <sheetName val="mfin data"/>
      <sheetName val="Środki 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data"/>
      <sheetName val="shpr&amp;vol"/>
      <sheetName val="EPRA's"/>
      <sheetName val="pr.rel.gr"/>
      <sheetName val="ratios"/>
      <sheetName val="Dutch Peers data"/>
      <sheetName val="Dutch Peers chart"/>
      <sheetName val="Total"/>
      <sheetName val="European peers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Template"/>
      <sheetName val="Message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CTRL PANEL"/>
      <sheetName val="Arkusz1"/>
      <sheetName val="TB"/>
      <sheetName val="TBII"/>
      <sheetName val="TBCHECK"/>
      <sheetName val="BS ASSETS"/>
      <sheetName val="RZiS razem"/>
      <sheetName val="BS LIABILITES"/>
      <sheetName val="P&amp;L"/>
      <sheetName val="CF"/>
      <sheetName val="CF.WORKBOOK"/>
      <sheetName val="EQUITY"/>
      <sheetName val="INTANGIBLES"/>
      <sheetName val="FIXED ASSETS"/>
      <sheetName val="LONG INVEST"/>
      <sheetName val="SHORT INVEST"/>
      <sheetName val="REZERWY"/>
      <sheetName val="ODPISY NA NAL"/>
      <sheetName val="2.4"/>
      <sheetName val="DTA_DTL 1"/>
      <sheetName val="DTA_DTL 2"/>
      <sheetName val="3.1"/>
      <sheetName val="3.2"/>
      <sheetName val="3.3"/>
      <sheetName val="3.4"/>
      <sheetName val="OBROTY GRUPA"/>
      <sheetName val="4.4"/>
      <sheetName val="4.4a"/>
      <sheetName val="4.5"/>
      <sheetName val="4.6"/>
      <sheetName val="4.7"/>
      <sheetName val="4.8"/>
      <sheetName val="4.9"/>
      <sheetName val="4.10"/>
      <sheetName val="POZ PRZYCH I KOSZTY"/>
      <sheetName val="FIN PRZYCH I KOSZTY"/>
      <sheetName val="UTA POLSKA 2018.10.02"/>
      <sheetName val="export"/>
      <sheetName val="7.1"/>
      <sheetName val="7.2"/>
      <sheetName val="7.3"/>
      <sheetName val="7.4"/>
      <sheetName val="7.5"/>
      <sheetName val="7.6"/>
      <sheetName val="7.7"/>
      <sheetName val="7.8"/>
      <sheetName val="7.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-LS"/>
      <sheetName val="T-LS"/>
      <sheetName val="UB, VB-LS"/>
      <sheetName val="NOTA SF"/>
      <sheetName val="Merger Accounting_Summary"/>
      <sheetName val="Plan połączenie"/>
      <sheetName val="Porównanie danych UTA Polska =&gt;"/>
      <sheetName val="UTA Polska Aktywa"/>
      <sheetName val="UTA Polska Pasywa"/>
      <sheetName val="UTA Polska P&amp;L"/>
      <sheetName val="UTA Polska P&amp;L Jan - Sep 2018"/>
      <sheetName val="Support files =&gt;"/>
      <sheetName val="Zapisy na kontach kapitałów"/>
      <sheetName val="BS UTA Polska ASSETS 02.10."/>
      <sheetName val="BS UTA Polska  LIABILITES 02.10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er"/>
      <sheetName val="Spis"/>
      <sheetName val="arkusz sprawdzający"/>
      <sheetName val="Korekty"/>
      <sheetName val="SA_R"/>
      <sheetName val="T1"/>
      <sheetName val="T2"/>
      <sheetName val="T1-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6"/>
      <sheetName val="T17"/>
      <sheetName val="T18"/>
      <sheetName val="T21"/>
      <sheetName val="T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RL PANEL"/>
      <sheetName val="TB"/>
      <sheetName val="TB2"/>
      <sheetName val="BS ASSETS"/>
      <sheetName val="RZiS razem"/>
      <sheetName val="BS LIABILITES"/>
      <sheetName val="P&amp;L"/>
      <sheetName val="CF"/>
      <sheetName val="EQUITY"/>
      <sheetName val="INT I"/>
      <sheetName val="INT II"/>
      <sheetName val="FA I"/>
      <sheetName val="FA II"/>
      <sheetName val="FAUP I"/>
      <sheetName val="FAUP II"/>
      <sheetName val="NC INV I"/>
      <sheetName val="NC INV II"/>
      <sheetName val="1.2 - 1.3"/>
      <sheetName val="1.4 - 1.5"/>
      <sheetName val="1.6"/>
      <sheetName val="1.7 "/>
      <sheetName val="1.8"/>
      <sheetName val="1.9.1"/>
      <sheetName val="1.9.2"/>
      <sheetName val="1.10 - 1.11"/>
      <sheetName val="2.1"/>
      <sheetName val="2.2 - 2.3"/>
      <sheetName val="2.4"/>
      <sheetName val="2.5-2.8"/>
      <sheetName val="2.9"/>
      <sheetName val="3.1"/>
      <sheetName val="3.2"/>
      <sheetName val="3.3"/>
      <sheetName val="3.4"/>
      <sheetName val="3.5"/>
      <sheetName val="4.1"/>
      <sheetName val="4.2"/>
      <sheetName val="4.2a"/>
      <sheetName val="4.3"/>
      <sheetName val="4.4"/>
      <sheetName val="4.4a"/>
      <sheetName val="4.5"/>
      <sheetName val="4.6"/>
      <sheetName val="4.7"/>
      <sheetName val="4.8"/>
      <sheetName val="4.9"/>
      <sheetName val="4.10"/>
      <sheetName val="5"/>
      <sheetName val="6.1"/>
      <sheetName val="6.2"/>
      <sheetName val="6.2a"/>
      <sheetName val="6.3"/>
      <sheetName val="6.3a"/>
      <sheetName val="6.4"/>
      <sheetName val="7.1"/>
      <sheetName val="7.2"/>
      <sheetName val="7.3"/>
      <sheetName val="7.4"/>
      <sheetName val="7.5"/>
      <sheetName val="7.6"/>
      <sheetName val="7.7"/>
      <sheetName val="7.8"/>
      <sheetName val="7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TEST"/>
      <sheetName val="DEVELOPMENT"/>
      <sheetName val="LOCAL"/>
      <sheetName val="Front page"/>
      <sheetName val="ToC"/>
      <sheetName val="IS"/>
      <sheetName val="IS MA to FA"/>
      <sheetName val="BS"/>
      <sheetName val="BS MA to FA"/>
      <sheetName val="Equity"/>
      <sheetName val="CF_MA"/>
      <sheetName val="CF_FA"/>
      <sheetName val="Destination"/>
      <sheetName val="IFRS15"/>
      <sheetName val="Costs"/>
      <sheetName val="Employment"/>
      <sheetName val="ConstContr"/>
      <sheetName val="IS Disclosures"/>
      <sheetName val="Profit Disposals"/>
      <sheetName val="PPE Owned"/>
      <sheetName val="PPE Leased"/>
      <sheetName val="IFA"/>
      <sheetName val="FA"/>
      <sheetName val="Inventory"/>
      <sheetName val="Receivables"/>
      <sheetName val="Payables"/>
      <sheetName val="IC Move"/>
      <sheetName val="Lease Liabilities"/>
      <sheetName val="Provisions"/>
      <sheetName val="Prov-timing-CY"/>
      <sheetName val="Pension_CC"/>
      <sheetName val="Pension_IAS19"/>
      <sheetName val="Net Debt"/>
      <sheetName val="Net Debt Move"/>
      <sheetName val="Net Debt Fixed Floating"/>
      <sheetName val="Net Debt Maturity"/>
      <sheetName val="Net Debt Currency"/>
      <sheetName val="Derivatives"/>
      <sheetName val="Contractual Obligations"/>
      <sheetName val="Interest"/>
      <sheetName val="Acquisition BS"/>
      <sheetName val="Divestment BS"/>
      <sheetName val="Transfer BS"/>
      <sheetName val="Tax Summary"/>
      <sheetName val="Tax Movements"/>
      <sheetName val="Tax Losses"/>
      <sheetName val="Tax Comp"/>
      <sheetName val="Tax Year"/>
      <sheetName val="Def Tax BS"/>
      <sheetName val="Move Def Tax"/>
      <sheetName val="CMF"/>
      <sheetName val="Validations"/>
      <sheetName val="Design notes"/>
      <sheetName val="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CTRL PANEL"/>
      <sheetName val="TB"/>
      <sheetName val="TBII"/>
      <sheetName val="BS ASSETS"/>
      <sheetName val="RZiS razem"/>
      <sheetName val="BS LIABILITES"/>
      <sheetName val="P&amp;L"/>
      <sheetName val="CF"/>
      <sheetName val="EQUITY"/>
      <sheetName val="INT I"/>
      <sheetName val="INT II"/>
      <sheetName val="FA I"/>
      <sheetName val="FA II"/>
      <sheetName val="FAUP I"/>
      <sheetName val="FAUP II"/>
      <sheetName val="NC INV I"/>
      <sheetName val="NC INV II"/>
      <sheetName val="1.2 - 1.3"/>
      <sheetName val="1.4 - 1.5"/>
      <sheetName val="1.6"/>
      <sheetName val="1.7 "/>
      <sheetName val="1.8"/>
      <sheetName val="1.9.1"/>
      <sheetName val="1.9.2"/>
      <sheetName val="1.10 - 1.11"/>
      <sheetName val="2.1"/>
      <sheetName val="2.2 - 2.3"/>
      <sheetName val="2.4"/>
      <sheetName val="2.5-2.8"/>
      <sheetName val="2.9"/>
      <sheetName val="3.1"/>
      <sheetName val="3.2"/>
      <sheetName val="3.3"/>
      <sheetName val="3.4"/>
      <sheetName val="4.1"/>
      <sheetName val="4.2"/>
      <sheetName val="4.2a"/>
      <sheetName val="4.3"/>
      <sheetName val="4.4"/>
      <sheetName val="4.4a"/>
      <sheetName val="4.5"/>
      <sheetName val="4.6"/>
      <sheetName val="4.7"/>
      <sheetName val="4.8"/>
      <sheetName val="4.9"/>
      <sheetName val="4.10"/>
      <sheetName val="5"/>
      <sheetName val="6.1"/>
      <sheetName val="6.2"/>
      <sheetName val="6.3"/>
      <sheetName val="6.4"/>
      <sheetName val="export"/>
      <sheetName val="7.1"/>
      <sheetName val="7.2"/>
      <sheetName val="7.3"/>
      <sheetName val="7.4"/>
      <sheetName val="7.5"/>
      <sheetName val="7.6"/>
      <sheetName val="7.7"/>
      <sheetName val="7.8"/>
      <sheetName val="7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RL PANEL"/>
      <sheetName val="TB"/>
      <sheetName val="TB2"/>
      <sheetName val="CHECK"/>
      <sheetName val="BS ASSETS"/>
      <sheetName val="RZiS razem"/>
      <sheetName val="BS LIABILITES"/>
      <sheetName val="P&amp;L"/>
      <sheetName val="CF"/>
      <sheetName val="EQUITY"/>
      <sheetName val="INT I"/>
      <sheetName val="INT II"/>
      <sheetName val="FA I"/>
      <sheetName val="FA II"/>
      <sheetName val="FAUP I"/>
      <sheetName val="FAUP II"/>
      <sheetName val="NC INV I"/>
      <sheetName val="NC INV II"/>
      <sheetName val="1.2 - 1.3"/>
      <sheetName val="1.4 - 1.5"/>
      <sheetName val="1.6"/>
      <sheetName val="1.6a"/>
      <sheetName val="1.7 "/>
      <sheetName val="1.7a"/>
      <sheetName val="1.8"/>
      <sheetName val="1.9.1"/>
      <sheetName val="1.91a"/>
      <sheetName val="1.9.2"/>
      <sheetName val="1.10 - 1.11"/>
      <sheetName val="2.1"/>
      <sheetName val="2.2 - 2.3"/>
      <sheetName val="2.4"/>
      <sheetName val="2.5-2.8"/>
      <sheetName val="2.9"/>
      <sheetName val="2.9a"/>
      <sheetName val="3.1"/>
      <sheetName val="3.2"/>
      <sheetName val="3.3"/>
      <sheetName val="3.4"/>
      <sheetName val="3.5"/>
      <sheetName val="4.1"/>
      <sheetName val="4.2"/>
      <sheetName val="4.2a"/>
      <sheetName val="4.3"/>
      <sheetName val="4.4"/>
      <sheetName val="4.4a"/>
      <sheetName val="4.5"/>
      <sheetName val="4.6"/>
      <sheetName val="4.7"/>
      <sheetName val="4.8"/>
      <sheetName val="4.9"/>
      <sheetName val="4.10"/>
      <sheetName val="5"/>
      <sheetName val="6.1"/>
      <sheetName val="6.2"/>
      <sheetName val="6.2a"/>
      <sheetName val="6.3"/>
      <sheetName val="6.3a"/>
      <sheetName val="6.4"/>
      <sheetName val="7.1"/>
      <sheetName val="7.2"/>
      <sheetName val="7.3"/>
      <sheetName val="7.4"/>
      <sheetName val="7.5"/>
      <sheetName val="7.6"/>
      <sheetName val="7.7"/>
      <sheetName val="7.8"/>
      <sheetName val="7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 18vs17"/>
      <sheetName val="P&amp;L2018"/>
      <sheetName val="P&amp;L 2017"/>
      <sheetName val="PLAN 2016"/>
      <sheetName val="PIV"/>
      <sheetName val="PIV2"/>
      <sheetName val="dane"/>
      <sheetName val="CIT"/>
      <sheetName val="mapping"/>
      <sheetName val="slo_po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tion"/>
      <sheetName val="Validation - Bank"/>
      <sheetName val="Changes"/>
      <sheetName val="Title"/>
      <sheetName val="Accounts"/>
      <sheetName val="Comments"/>
      <sheetName val="Cash Flow"/>
      <sheetName val="P&amp;L notes 1 - 2"/>
      <sheetName val="P&amp;L note 3"/>
      <sheetName val="P&amp;L notes 4 - 5"/>
      <sheetName val="Turnover analysis"/>
      <sheetName val="Trading Profit analysis"/>
      <sheetName val="P&amp;L notes 6abc"/>
      <sheetName val="P&amp;L notes 7 - 10"/>
      <sheetName val="P&amp;L notes 11 - 13"/>
      <sheetName val="P&amp;L Intercompany analysis"/>
      <sheetName val="BS note 14"/>
      <sheetName val="BS note 15"/>
      <sheetName val="BS note 16"/>
      <sheetName val="Note 16b associates"/>
      <sheetName val="BS notes 17-18"/>
      <sheetName val="BS notes 19"/>
      <sheetName val="BS notes 20"/>
      <sheetName val="BS notes 21 - 25"/>
      <sheetName val="BS Intercompany analysis"/>
      <sheetName val="BS note 26"/>
      <sheetName val="BS note 26b"/>
      <sheetName val="Discount worksheet"/>
      <sheetName val="BS notes 27"/>
      <sheetName val="BS notes 27 currency swaps"/>
      <sheetName val="BS notes 27 interest swaps"/>
      <sheetName val="BS notes 27c derivatives"/>
      <sheetName val="BS notes 27a-b"/>
      <sheetName val="CF notes 28 - 34"/>
      <sheetName val="Seg Note 35 IAS"/>
      <sheetName val="Acq notes 36"/>
      <sheetName val="Acq Costs"/>
      <sheetName val="Acq notes 36ABC"/>
      <sheetName val="Acq notes 37"/>
      <sheetName val="Business Disposals"/>
      <sheetName val="BusinessdisposalsABC"/>
      <sheetName val="FX Net Assets"/>
      <sheetName val="Tax notes 50"/>
      <sheetName val="Tax notes 51 - 54"/>
      <sheetName val="Tax notes 55 - 56"/>
      <sheetName val="Deferred Tax"/>
      <sheetName val="Seg Tax Note"/>
      <sheetName val="Book Value"/>
      <sheetName val="FV Adjustments"/>
      <sheetName val="Acc Pol Adjustments"/>
      <sheetName val="Prior year adjustment"/>
      <sheetName val="Acq notes 36a 1"/>
      <sheetName val="Acq notes 36a 2"/>
      <sheetName val="Acq notes 36a 3"/>
      <sheetName val="Acq notes 36a 4"/>
      <sheetName val="Acq notes 36a 5"/>
      <sheetName val="Acq notes 36a 6"/>
      <sheetName val="Acq notes 36a 7"/>
      <sheetName val="Acq notes 36a 8"/>
      <sheetName val="Acq notes 36a 9"/>
      <sheetName val="Acq notes 36a 10"/>
      <sheetName val="Acq notes 36a 11"/>
      <sheetName val="Acq notes 36a 12"/>
      <sheetName val="Acq notes 36a 13"/>
      <sheetName val="Acq notes 36a 14"/>
      <sheetName val="Acq notes 36a 15"/>
      <sheetName val="Acq notes 36a 16"/>
      <sheetName val="Acq notes 36a 17"/>
      <sheetName val="Acq notes 36a 18"/>
      <sheetName val="Acq notes 36a 19"/>
      <sheetName val="Acq notes 36a 20"/>
      <sheetName val="Consolidated FV balance sheets"/>
      <sheetName val="Consolidated book value"/>
      <sheetName val="Consolidated revaluation"/>
      <sheetName val="Consolidated acc pol adjs"/>
      <sheetName val="Consolidated py adjs"/>
      <sheetName val="BS notes 27 fair value"/>
      <sheetName val="BS notes 27 total"/>
      <sheetName val="BS notes 27 curr swaps fv"/>
      <sheetName val="BS notes 27 curr sw total"/>
      <sheetName val="BS notes 27 int swaps fv"/>
      <sheetName val="BS notes 27 int sw total"/>
      <sheetName val="List"/>
      <sheetName val="fstruc51"/>
      <sheetName val="List1"/>
      <sheetName val="Associate input 1"/>
      <sheetName val="Associate input 2"/>
      <sheetName val="Associate input 3"/>
      <sheetName val="Associate input 4"/>
      <sheetName val="Associate input 5"/>
      <sheetName val="Associate input 6"/>
      <sheetName val="Associate input 7"/>
      <sheetName val="Associate input 8"/>
      <sheetName val="Associate input 9"/>
      <sheetName val="Associate input 10"/>
      <sheetName val="Associate input 11"/>
      <sheetName val="Associate input 12"/>
      <sheetName val="Associate input 13"/>
      <sheetName val="Associate input 14"/>
      <sheetName val="Associate input 15"/>
      <sheetName val="Associate input 16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  <sheetName val="09 PL TB 31.12.2009"/>
    </sheetNames>
    <sheetDataSet>
      <sheetData sheetId="0"/>
      <sheetData sheetId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kt"/>
      <sheetName val="pas"/>
      <sheetName val="wf"/>
      <sheetName val="pdop"/>
      <sheetName val="st-pl"/>
      <sheetName val="Gewinn"/>
      <sheetName val="Aktivseite"/>
      <sheetName val="Passivse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nding Page"/>
      <sheetName val="CriteriaSheet"/>
      <sheetName val="Template"/>
      <sheetName val="TagAnalysisTemplate"/>
      <sheetName val="TagLineItemTemplate"/>
      <sheetName val="SYTrendMapTemplate"/>
      <sheetName val="KeyItemsTemplate"/>
      <sheetName val="OtherSideJETemplate"/>
      <sheetName val="IncomeAnalysisTemplate"/>
      <sheetName val="SignificantAcctsTemplate"/>
      <sheetName val="BackpostingTemplate"/>
      <sheetName val="Configure"/>
      <sheetName val="WorksheetSelections"/>
      <sheetName val="Home"/>
      <sheetName val="Balance Sheet"/>
      <sheetName val="Pi"/>
      <sheetName val="Lookups"/>
      <sheetName val="JETBValidationTemplate"/>
      <sheetName val="TBRollForwardTemplate"/>
      <sheetName val="BalanceSheetTemplate"/>
      <sheetName val="IncomeStatementTemplate"/>
      <sheetName val="FinTieOutTemplate"/>
      <sheetName val="ProcessMapsTemplate"/>
      <sheetName val="SoDByAClassTemplate"/>
      <sheetName val="SoDACChartsTemplate"/>
      <sheetName val="SoDChgInPrepTemplate"/>
      <sheetName val="SoDRelateTemplate"/>
      <sheetName val="SoDAnalyzeTemplate"/>
      <sheetName val="DateWeekMonthTemplate"/>
      <sheetName val="DateLagTemplate"/>
      <sheetName val="GrossMarginTemplate"/>
      <sheetName val="RelationshipTemplate"/>
      <sheetName val="Corr2SummTemplate"/>
      <sheetName val="Corr2ATemplate"/>
      <sheetName val="Corr2BTemplate"/>
      <sheetName val="Corr2CTemplate"/>
      <sheetName val="Corr3SummTemplate"/>
      <sheetName val="Corr3ATemplate"/>
      <sheetName val="Corr3BTemplate"/>
      <sheetName val="Corr3CTemplate"/>
      <sheetName val="Corr3DTemplate"/>
      <sheetName val="Corr3ETemplate"/>
      <sheetName val="Corr3FTemplate"/>
      <sheetName val="CutoffTemplate"/>
      <sheetName val="JEReportsTemplate"/>
      <sheetName val="LeadSheetTemplate"/>
      <sheetName val="    Short term investments loan"/>
      <sheetName val="DetailTemplate"/>
      <sheetName val=" 271010100  ODPIS NALPOŻ JPOZ"/>
      <sheetName val="LineItemTemplate"/>
      <sheetName val="LineItems"/>
      <sheetName val="Income Statement"/>
      <sheetName val=" External services"/>
      <sheetName val="LineItems(1)"/>
      <sheetName val="OSJE External services"/>
      <sheetName val=" External services(1)"/>
      <sheetName val="OSJE ODPIS NALPOŻ JPOZ"/>
      <sheetName val="LineItems(2)"/>
      <sheetName val="LineItems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"/>
      <sheetName val="IS"/>
      <sheetName val="IC Vol. Rev."/>
      <sheetName val="IC Rev. Oth."/>
      <sheetName val="Balance"/>
      <sheetName val="IC Acc.Rec."/>
      <sheetName val="IC Acc.Pay."/>
      <sheetName val="Fixed Assets"/>
      <sheetName val="Equity"/>
      <sheetName val="Konvert"/>
      <sheetName val="Bad Debts"/>
      <sheetName val="Ladefile Standard"/>
      <sheetName val="Ladefile Kalkuliert"/>
      <sheetName val="Versionshistorie"/>
      <sheetName val="Texte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IS"/>
      <sheetName val="ARKUSZ SPRAWDZAJACY"/>
      <sheetName val="do wydruku"/>
      <sheetName val="zestawienie laczn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ION 11"/>
      <sheetName val="Section 11.1"/>
      <sheetName val="Section 11.2"/>
      <sheetName val="Section 11.3"/>
      <sheetName val="Section 11.4"/>
      <sheetName val="Section 11.5"/>
      <sheetName val="Section 11.6"/>
      <sheetName val="Section 11.7"/>
      <sheetName val="Section 11.8"/>
      <sheetName val="Section 11.9"/>
      <sheetName val="Section 11.10"/>
      <sheetName val="Section 11.11"/>
      <sheetName val="Section 11.12"/>
      <sheetName val="Section 11.13"/>
      <sheetName val="Section 11.14"/>
      <sheetName val="Section 11.15"/>
      <sheetName val="Section 11.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"/>
      <sheetName val="IS"/>
      <sheetName val="IC Vol. Rev."/>
      <sheetName val="IC Rev. Oth."/>
      <sheetName val="Balance"/>
      <sheetName val="IC Acc.Rec."/>
      <sheetName val="IC Acc.Pay."/>
      <sheetName val="Fixed Assets"/>
      <sheetName val="Equity"/>
      <sheetName val="Konvert"/>
      <sheetName val="Bad Debts"/>
      <sheetName val="Ladefile Standard"/>
      <sheetName val="Ladefile Kalkuliert"/>
      <sheetName val="Versionshistorie"/>
      <sheetName val="Texte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Kursy"/>
      <sheetName val="Aktywa"/>
      <sheetName val="Pasywa"/>
      <sheetName val="RZIS"/>
      <sheetName val="EQUITY"/>
      <sheetName val="CF"/>
      <sheetName val="WNIP"/>
      <sheetName val="ŚRODKI TRWAŁE"/>
      <sheetName val="INWEST DŁTERM"/>
      <sheetName val="INWEST KRTERM"/>
      <sheetName val="RMKC"/>
      <sheetName val="KAPITAŁY"/>
      <sheetName val="REZERWY"/>
      <sheetName val="ODPISY NA NAL"/>
      <sheetName val="ZOB DŁUGOTERM"/>
      <sheetName val="CIT"/>
      <sheetName val="CIT ODR"/>
      <sheetName val="6.1"/>
      <sheetName val="RMKB"/>
      <sheetName val="ZOB NA MAJĄTKU"/>
      <sheetName val="STRUKTURA PRZYCHODÓW"/>
      <sheetName val="POZ PRZ OPER"/>
      <sheetName val="POZ KTY OPER"/>
      <sheetName val="PRZ FIN"/>
      <sheetName val="KOSZ FIN"/>
      <sheetName val="NOTY do CF"/>
      <sheetName val="CF2"/>
      <sheetName val="Połączenie"/>
      <sheetName val="Obroty grupa"/>
      <sheetName val="importBIL"/>
      <sheetName val="SLO"/>
      <sheetName val="SLO_KODY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Kursy"/>
      <sheetName val="BS ASSETS"/>
      <sheetName val="BS LIABILITES"/>
      <sheetName val="P&amp;L"/>
      <sheetName val="Korekty"/>
      <sheetName val="EQUITY"/>
      <sheetName val="CF"/>
      <sheetName val="WNIP"/>
      <sheetName val="ŚRODKI TRWAŁE"/>
      <sheetName val="INWEST DŁTERM"/>
      <sheetName val="INWEST KRTERM"/>
      <sheetName val="REZERWY"/>
      <sheetName val="ODPISY NA NAL"/>
      <sheetName val="ZOB DŁUGOTERM"/>
      <sheetName val="RMKC"/>
      <sheetName val="CIT"/>
      <sheetName val="CIT ODR"/>
      <sheetName val="6.1"/>
      <sheetName val="RMKB"/>
      <sheetName val="ZOB NA MAJĄTKU"/>
      <sheetName val="STRUKTURA PRZYCHODÓW"/>
      <sheetName val="POZ PRZ OPER"/>
      <sheetName val="POZ KTY OPER"/>
      <sheetName val="PRZ FIN"/>
      <sheetName val="KOSZ FIN"/>
      <sheetName val="NOTY do CF"/>
      <sheetName val="CF2"/>
      <sheetName val="Obroty wewnętrzne"/>
      <sheetName val="importBIL"/>
      <sheetName val="SLO"/>
      <sheetName val="SLO_KODY"/>
      <sheetName val="INTERCOMPANY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Details"/>
      <sheetName val="Ls_XLB_WorkbookFile"/>
      <sheetName val="Ls_AgXLB_WorkbookFile"/>
      <sheetName val="Ageing_by_branch"/>
      <sheetName val="Ageing_by_income_type"/>
      <sheetName val="Ageing_by_tenant"/>
      <sheetName val="M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Zakładka sterująca"/>
      <sheetName val="Engagement Details"/>
      <sheetName val="CRASummary"/>
      <sheetName val="Plik Wsadowy - Obrotówka"/>
      <sheetName val="Aktywa"/>
      <sheetName val="Pasywa"/>
      <sheetName val="RZiS porównawczy"/>
      <sheetName val="CF"/>
      <sheetName val="PL Group"/>
      <sheetName val="BS Group"/>
      <sheetName val="OAR BS PAR"/>
      <sheetName val="OAR PL PAR"/>
      <sheetName val="Materiality"/>
      <sheetName val="Going Concern"/>
      <sheetName val="Long Form Ratios"/>
      <sheetName val="Cash Flow"/>
      <sheetName val="ErrorLog"/>
      <sheetName val="PathAndInfo"/>
      <sheetName val="17 Konsalnet Cash Management 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Other companies 97  CENTRALT"/>
      <sheetName val="1 Other companies 1998"/>
      <sheetName val="Avstämning"/>
      <sheetName val="2. Other companies 1998 "/>
      <sheetName val="Avst 2. Other comp"/>
      <sheetName val="Blad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TBII"/>
      <sheetName val="BS ASSETS"/>
      <sheetName val="BS LIABILITES"/>
      <sheetName val="P&amp;L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e"/>
      <sheetName val="Bilans"/>
      <sheetName val="RZiSP"/>
      <sheetName val="RZiSK"/>
      <sheetName val="CF"/>
      <sheetName val="ZK"/>
      <sheetName val="N1"/>
      <sheetName val="N2"/>
      <sheetName val="N3"/>
      <sheetName val="N4"/>
      <sheetName val="N5"/>
      <sheetName val="N6"/>
      <sheetName val="N7"/>
      <sheetName val="N8-9"/>
      <sheetName val="N10"/>
      <sheetName val="N11-12"/>
      <sheetName val="N13"/>
      <sheetName val="N14"/>
      <sheetName val="N15-16"/>
      <sheetName val="N17"/>
      <sheetName val="Kontakt"/>
      <sheetName val="Info"/>
      <sheetName val="Bilans-k"/>
      <sheetName val="RZiSP-k"/>
      <sheetName val="RZiSK-k"/>
      <sheetName val="ZK-k"/>
      <sheetName val="CF-k"/>
      <sheetName val="SF-KK"/>
      <sheetName val="SF-PK"/>
      <sheetName val="N1-Suma"/>
      <sheetName val="N2-Suma"/>
      <sheetName val="N3-Suma"/>
      <sheetName val="N4-Suma"/>
      <sheetName val="N5-Suma"/>
      <sheetName val="N6-Suma"/>
      <sheetName val="N7-Suma"/>
      <sheetName val="N10-Suma"/>
      <sheetName val="N13-Suma"/>
      <sheetName val="KK"/>
      <sheetName val="Amortyzacja"/>
      <sheetName val="Noty-Suma"/>
      <sheetName val="Noty 1"/>
      <sheetName val="Noty 2"/>
      <sheetName val="Noty 3"/>
      <sheetName val="A"/>
      <sheetName val="P"/>
      <sheetName val="R"/>
      <sheetName val="R II"/>
      <sheetName val="CF II"/>
      <sheetName val="ZZwKW"/>
      <sheetName val="T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E_WSTĘPNE"/>
      <sheetName val="AKTYWA"/>
      <sheetName val="PASYWA"/>
      <sheetName val="RZiS-kalk."/>
      <sheetName val="RZiS-por"/>
      <sheetName val="noty 1"/>
      <sheetName val="noty2"/>
      <sheetName val="noty 3"/>
      <sheetName val="ARK_TECHN"/>
      <sheetName val="B_elekt_SAP"/>
      <sheetName val="BilansRZiS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_Forecast"/>
      <sheetName val="Opps&amp;Risks_20120315"/>
      <sheetName val="Opps&amp;Risks_20120308"/>
      <sheetName val="SAL_Forecast_kolejny_miesiąc"/>
      <sheetName val="Forecast_SAL_vs_MKTG"/>
      <sheetName val="Dane_MTD"/>
      <sheetName val="Dane_LD"/>
      <sheetName val="Kalendarz"/>
      <sheetName val="Forecast_PM"/>
      <sheetName val="CostCenters"/>
      <sheetName val="Target_SAL"/>
      <sheetName val="Konferencje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epływy pieniężne"/>
      <sheetName val="Bilans"/>
      <sheetName val="Rachunek zysków i strat"/>
      <sheetName val="zmiany MT"/>
      <sheetName val="Transformation Schedule'06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lans_s"/>
      <sheetName val="RZIS_s"/>
      <sheetName val="SSCD_s"/>
      <sheetName val="CF_s"/>
      <sheetName val="ZZKW_s"/>
      <sheetName val="1-4"/>
      <sheetName val="5-6"/>
      <sheetName val="6cd"/>
      <sheetName val="7"/>
      <sheetName val="8 "/>
      <sheetName val="9 "/>
      <sheetName val="10 "/>
      <sheetName val="10cd "/>
      <sheetName val="10-12 "/>
      <sheetName val="13-14"/>
      <sheetName val="15"/>
      <sheetName val="16"/>
      <sheetName val="17"/>
      <sheetName val="18-20"/>
      <sheetName val="21-22"/>
      <sheetName val="23-25"/>
      <sheetName val="26"/>
      <sheetName val="27-28"/>
      <sheetName val="29-30"/>
      <sheetName val="31"/>
      <sheetName val="32-34"/>
      <sheetName val="35-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2">
          <cell r="E72">
            <v>12950000</v>
          </cell>
        </row>
      </sheetData>
      <sheetData sheetId="8">
        <row r="42">
          <cell r="C42">
            <v>1142000</v>
          </cell>
        </row>
        <row r="46">
          <cell r="C46">
            <v>490000</v>
          </cell>
        </row>
      </sheetData>
      <sheetData sheetId="9">
        <row r="4">
          <cell r="D4">
            <v>764000</v>
          </cell>
        </row>
        <row r="12">
          <cell r="D12">
            <v>1559000</v>
          </cell>
        </row>
        <row r="28">
          <cell r="D28">
            <v>254000</v>
          </cell>
        </row>
      </sheetData>
      <sheetData sheetId="10">
        <row r="6">
          <cell r="F6">
            <v>53000</v>
          </cell>
        </row>
        <row r="32">
          <cell r="F32">
            <v>2285000</v>
          </cell>
        </row>
        <row r="40">
          <cell r="F40">
            <v>885000</v>
          </cell>
        </row>
      </sheetData>
      <sheetData sheetId="11"/>
      <sheetData sheetId="12"/>
      <sheetData sheetId="13"/>
      <sheetData sheetId="14">
        <row r="48">
          <cell r="M48">
            <v>7914000</v>
          </cell>
        </row>
      </sheetData>
      <sheetData sheetId="15">
        <row r="45">
          <cell r="J45">
            <v>19194000</v>
          </cell>
        </row>
      </sheetData>
      <sheetData sheetId="16"/>
      <sheetData sheetId="17"/>
      <sheetData sheetId="18"/>
      <sheetData sheetId="19"/>
      <sheetData sheetId="20">
        <row r="117">
          <cell r="G117">
            <v>-4</v>
          </cell>
        </row>
      </sheetData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lans_j"/>
      <sheetName val="RZIS_j"/>
      <sheetName val="SSCD_j"/>
      <sheetName val="CF_j"/>
      <sheetName val="ZZKW_j"/>
      <sheetName val="1-4"/>
      <sheetName val="5-6"/>
      <sheetName val="6cd"/>
      <sheetName val="7"/>
      <sheetName val="8 "/>
      <sheetName val="9 "/>
      <sheetName val="10 "/>
      <sheetName val="10cd "/>
      <sheetName val="10-14 "/>
      <sheetName val="15"/>
      <sheetName val="16"/>
      <sheetName val="17"/>
      <sheetName val="18"/>
      <sheetName val="19"/>
      <sheetName val="20-22"/>
      <sheetName val="23-24"/>
      <sheetName val="25-27"/>
      <sheetName val="28"/>
      <sheetName val="29-30"/>
      <sheetName val="31-32"/>
      <sheetName val="33"/>
      <sheetName val="34-36"/>
      <sheetName val="37-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4">
          <cell r="H44">
            <v>11.4</v>
          </cell>
          <cell r="I44">
            <v>274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32E8-9BC5-465C-B971-CAED73F5132B}">
  <sheetPr>
    <tabColor rgb="FF00B0F0"/>
    <pageSetUpPr fitToPage="1"/>
  </sheetPr>
  <dimension ref="A1:G86"/>
  <sheetViews>
    <sheetView showGridLines="0" view="pageBreakPreview" zoomScale="145" zoomScaleNormal="100" zoomScaleSheetLayoutView="145" workbookViewId="0">
      <selection activeCell="H2" sqref="H2"/>
    </sheetView>
  </sheetViews>
  <sheetFormatPr defaultColWidth="8.85546875" defaultRowHeight="15" x14ac:dyDescent="0.25"/>
  <cols>
    <col min="1" max="1" width="56.140625" style="7" customWidth="1"/>
    <col min="2" max="2" width="7.85546875" style="65" customWidth="1"/>
    <col min="3" max="4" width="19.140625" style="7" customWidth="1"/>
    <col min="5" max="16384" width="8.85546875" style="7"/>
  </cols>
  <sheetData>
    <row r="1" spans="1:5" s="2" customFormat="1" ht="40.5" customHeight="1" x14ac:dyDescent="0.25">
      <c r="A1" s="370" t="s">
        <v>0</v>
      </c>
      <c r="B1" s="370"/>
      <c r="C1" s="370"/>
      <c r="D1" s="370"/>
      <c r="E1" s="1"/>
    </row>
    <row r="2" spans="1:5" s="5" customFormat="1" ht="28.5" customHeight="1" x14ac:dyDescent="0.35">
      <c r="A2" s="371" t="s">
        <v>1</v>
      </c>
      <c r="B2" s="371"/>
      <c r="C2" s="371"/>
      <c r="D2" s="371"/>
      <c r="E2" s="4"/>
    </row>
    <row r="3" spans="1:5" s="5" customFormat="1" ht="25.35" customHeight="1" x14ac:dyDescent="0.35">
      <c r="A3" s="372" t="s">
        <v>2</v>
      </c>
      <c r="B3" s="373"/>
      <c r="C3" s="373"/>
      <c r="D3" s="373"/>
      <c r="E3" s="6"/>
    </row>
    <row r="4" spans="1:5" s="5" customFormat="1" ht="25.35" customHeight="1" x14ac:dyDescent="0.35">
      <c r="A4" s="3"/>
      <c r="B4" s="3"/>
      <c r="C4" s="3"/>
      <c r="D4" s="3"/>
      <c r="E4" s="6"/>
    </row>
    <row r="5" spans="1:5" ht="35.1" customHeight="1" x14ac:dyDescent="0.25">
      <c r="A5" s="374" t="s">
        <v>3</v>
      </c>
      <c r="B5" s="374"/>
      <c r="C5" s="374"/>
      <c r="D5" s="374"/>
    </row>
    <row r="6" spans="1:5" x14ac:dyDescent="0.25">
      <c r="A6" s="365" t="s">
        <v>4</v>
      </c>
      <c r="B6" s="367" t="s">
        <v>5</v>
      </c>
      <c r="C6" s="369" t="s">
        <v>6</v>
      </c>
      <c r="D6" s="369"/>
    </row>
    <row r="7" spans="1:5" ht="45" x14ac:dyDescent="0.25">
      <c r="A7" s="366"/>
      <c r="B7" s="368"/>
      <c r="C7" s="8" t="s">
        <v>7</v>
      </c>
      <c r="D7" s="8" t="s">
        <v>8</v>
      </c>
    </row>
    <row r="8" spans="1:5" ht="18" x14ac:dyDescent="0.25">
      <c r="A8" s="9"/>
      <c r="B8" s="10"/>
      <c r="C8" s="11"/>
      <c r="D8" s="11"/>
    </row>
    <row r="9" spans="1:5" ht="15" customHeight="1" x14ac:dyDescent="0.25">
      <c r="A9" s="12" t="s">
        <v>9</v>
      </c>
      <c r="B9" s="13"/>
      <c r="C9" s="14">
        <f>SUM(C10:C18)</f>
        <v>209645000</v>
      </c>
      <c r="D9" s="14">
        <f>SUM(D10:D18)</f>
        <v>98062000</v>
      </c>
    </row>
    <row r="10" spans="1:5" ht="15" customHeight="1" x14ac:dyDescent="0.25">
      <c r="A10" s="15" t="s">
        <v>10</v>
      </c>
      <c r="B10" s="16">
        <v>13</v>
      </c>
      <c r="C10" s="17">
        <v>28368000</v>
      </c>
      <c r="D10" s="17">
        <v>22785000</v>
      </c>
    </row>
    <row r="11" spans="1:5" ht="15" hidden="1" customHeight="1" x14ac:dyDescent="0.25">
      <c r="A11" s="15" t="s">
        <v>11</v>
      </c>
      <c r="B11" s="18">
        <v>16</v>
      </c>
      <c r="C11" s="17"/>
      <c r="D11" s="17"/>
    </row>
    <row r="12" spans="1:5" ht="15" customHeight="1" x14ac:dyDescent="0.25">
      <c r="A12" s="15" t="s">
        <v>12</v>
      </c>
      <c r="B12" s="18">
        <v>14</v>
      </c>
      <c r="C12" s="17">
        <f>147856000+1671000</f>
        <v>149527000</v>
      </c>
      <c r="D12" s="17">
        <f>51349000+3572000</f>
        <v>54921000</v>
      </c>
      <c r="E12" s="19"/>
    </row>
    <row r="13" spans="1:5" ht="15" customHeight="1" x14ac:dyDescent="0.25">
      <c r="A13" s="15" t="s">
        <v>13</v>
      </c>
      <c r="B13" s="18">
        <v>15</v>
      </c>
      <c r="C13" s="17">
        <v>28827000</v>
      </c>
      <c r="D13" s="17">
        <v>17965000</v>
      </c>
    </row>
    <row r="14" spans="1:5" ht="15" customHeight="1" x14ac:dyDescent="0.25">
      <c r="A14" s="20" t="s">
        <v>14</v>
      </c>
      <c r="B14" s="21">
        <v>16</v>
      </c>
      <c r="C14" s="17">
        <v>50000</v>
      </c>
      <c r="D14" s="22">
        <v>1428000</v>
      </c>
    </row>
    <row r="15" spans="1:5" ht="15" customHeight="1" x14ac:dyDescent="0.25">
      <c r="A15" s="20" t="s">
        <v>15</v>
      </c>
      <c r="B15" s="21">
        <v>10</v>
      </c>
      <c r="C15" s="22">
        <v>1347000</v>
      </c>
      <c r="D15" s="22">
        <v>693000</v>
      </c>
      <c r="E15" s="19"/>
    </row>
    <row r="16" spans="1:5" ht="15" customHeight="1" x14ac:dyDescent="0.25">
      <c r="A16" s="20" t="s">
        <v>16</v>
      </c>
      <c r="B16" s="23">
        <v>17</v>
      </c>
      <c r="C16" s="22">
        <f>356000+893000</f>
        <v>1249000</v>
      </c>
      <c r="D16" s="24">
        <v>0</v>
      </c>
      <c r="E16" s="25"/>
    </row>
    <row r="17" spans="1:6" ht="15" customHeight="1" x14ac:dyDescent="0.25">
      <c r="A17" s="15" t="s">
        <v>17</v>
      </c>
      <c r="B17" s="26">
        <v>18</v>
      </c>
      <c r="C17" s="17">
        <v>277000</v>
      </c>
      <c r="D17" s="22">
        <v>270000</v>
      </c>
    </row>
    <row r="18" spans="1:6" ht="15" hidden="1" customHeight="1" x14ac:dyDescent="0.25">
      <c r="A18" s="15" t="s">
        <v>18</v>
      </c>
      <c r="B18" s="26"/>
      <c r="C18" s="17">
        <v>0</v>
      </c>
      <c r="D18" s="24">
        <v>0</v>
      </c>
    </row>
    <row r="19" spans="1:6" ht="15" customHeight="1" x14ac:dyDescent="0.25">
      <c r="A19" s="12" t="s">
        <v>19</v>
      </c>
      <c r="B19" s="13"/>
      <c r="C19" s="14">
        <f>SUM(C20:C29)</f>
        <v>209495000</v>
      </c>
      <c r="D19" s="27">
        <f>SUM(D20:D29)</f>
        <v>180626000</v>
      </c>
    </row>
    <row r="20" spans="1:6" ht="15" customHeight="1" x14ac:dyDescent="0.25">
      <c r="A20" s="15" t="s">
        <v>20</v>
      </c>
      <c r="B20" s="26">
        <v>19</v>
      </c>
      <c r="C20" s="17">
        <v>691000</v>
      </c>
      <c r="D20" s="22">
        <v>1041000</v>
      </c>
    </row>
    <row r="21" spans="1:6" ht="15" customHeight="1" x14ac:dyDescent="0.25">
      <c r="A21" s="15" t="s">
        <v>21</v>
      </c>
      <c r="B21" s="18">
        <v>20</v>
      </c>
      <c r="C21" s="17">
        <v>94381000</v>
      </c>
      <c r="D21" s="17">
        <v>58440000</v>
      </c>
      <c r="F21" s="28"/>
    </row>
    <row r="22" spans="1:6" ht="15" customHeight="1" x14ac:dyDescent="0.25">
      <c r="A22" s="15" t="s">
        <v>22</v>
      </c>
      <c r="B22" s="18"/>
      <c r="C22" s="17">
        <v>3875000</v>
      </c>
      <c r="D22" s="17">
        <v>910000</v>
      </c>
      <c r="E22" s="29"/>
    </row>
    <row r="23" spans="1:6" ht="15" customHeight="1" x14ac:dyDescent="0.25">
      <c r="A23" s="15" t="s">
        <v>23</v>
      </c>
      <c r="B23" s="18" t="s">
        <v>24</v>
      </c>
      <c r="C23" s="22">
        <v>4227000</v>
      </c>
      <c r="D23" s="22">
        <v>4494000</v>
      </c>
    </row>
    <row r="24" spans="1:6" ht="15.95" customHeight="1" x14ac:dyDescent="0.25">
      <c r="A24" s="15" t="s">
        <v>16</v>
      </c>
      <c r="B24" s="26"/>
      <c r="C24" s="22">
        <v>383000</v>
      </c>
      <c r="D24" s="22">
        <v>40000</v>
      </c>
    </row>
    <row r="25" spans="1:6" ht="15.95" customHeight="1" x14ac:dyDescent="0.25">
      <c r="A25" s="15" t="s">
        <v>25</v>
      </c>
      <c r="B25" s="26"/>
      <c r="C25" s="22">
        <v>2000</v>
      </c>
      <c r="D25" s="22">
        <v>736000</v>
      </c>
    </row>
    <row r="26" spans="1:6" ht="15" customHeight="1" x14ac:dyDescent="0.25">
      <c r="A26" s="15" t="s">
        <v>26</v>
      </c>
      <c r="B26" s="26">
        <v>10</v>
      </c>
      <c r="C26" s="22">
        <v>16243000</v>
      </c>
      <c r="D26" s="22">
        <v>3626000</v>
      </c>
      <c r="E26" s="19"/>
    </row>
    <row r="27" spans="1:6" ht="15" customHeight="1" x14ac:dyDescent="0.25">
      <c r="A27" s="15" t="s">
        <v>27</v>
      </c>
      <c r="B27" s="26">
        <v>23</v>
      </c>
      <c r="C27" s="22">
        <v>287000</v>
      </c>
      <c r="D27" s="24">
        <v>0</v>
      </c>
    </row>
    <row r="28" spans="1:6" ht="18" customHeight="1" x14ac:dyDescent="0.25">
      <c r="A28" s="15" t="s">
        <v>28</v>
      </c>
      <c r="B28" s="26">
        <v>34</v>
      </c>
      <c r="C28" s="22">
        <v>89406000</v>
      </c>
      <c r="D28" s="22">
        <v>111339000</v>
      </c>
    </row>
    <row r="29" spans="1:6" ht="15" hidden="1" customHeight="1" x14ac:dyDescent="0.25">
      <c r="A29" s="15" t="s">
        <v>29</v>
      </c>
      <c r="B29" s="26">
        <v>12</v>
      </c>
      <c r="C29" s="22">
        <v>0</v>
      </c>
      <c r="D29" s="22">
        <v>0</v>
      </c>
    </row>
    <row r="30" spans="1:6" ht="15" customHeight="1" x14ac:dyDescent="0.25">
      <c r="A30" s="30" t="s">
        <v>30</v>
      </c>
      <c r="B30" s="31"/>
      <c r="C30" s="32">
        <f>C9+C19</f>
        <v>419140000</v>
      </c>
      <c r="D30" s="32">
        <f>D9+D19</f>
        <v>278688000</v>
      </c>
      <c r="E30" s="25"/>
    </row>
    <row r="31" spans="1:6" ht="15" customHeight="1" x14ac:dyDescent="0.25">
      <c r="A31" s="33"/>
      <c r="B31" s="34"/>
      <c r="C31" s="35"/>
      <c r="D31" s="35"/>
    </row>
    <row r="32" spans="1:6" ht="35.1" customHeight="1" x14ac:dyDescent="0.25">
      <c r="A32" s="36" t="s">
        <v>31</v>
      </c>
      <c r="B32" s="37"/>
      <c r="C32" s="38"/>
      <c r="D32" s="38"/>
    </row>
    <row r="33" spans="1:6" x14ac:dyDescent="0.25">
      <c r="A33" s="365" t="s">
        <v>32</v>
      </c>
      <c r="B33" s="367" t="s">
        <v>5</v>
      </c>
      <c r="C33" s="369" t="s">
        <v>6</v>
      </c>
      <c r="D33" s="369"/>
    </row>
    <row r="34" spans="1:6" ht="45" x14ac:dyDescent="0.25">
      <c r="A34" s="366"/>
      <c r="B34" s="368"/>
      <c r="C34" s="39" t="str">
        <f>C7</f>
        <v>Stan na 
31/12/2022</v>
      </c>
      <c r="D34" s="39" t="str">
        <f>D7</f>
        <v>Stan na 
31/12/2021 po przekształceniu</v>
      </c>
    </row>
    <row r="35" spans="1:6" x14ac:dyDescent="0.25">
      <c r="A35" s="40" t="s">
        <v>33</v>
      </c>
      <c r="B35" s="41"/>
      <c r="C35" s="14">
        <f>C36+C44</f>
        <v>257677000</v>
      </c>
      <c r="D35" s="14">
        <f>D36+D44</f>
        <v>215456000</v>
      </c>
      <c r="E35" s="42"/>
      <c r="F35" s="42"/>
    </row>
    <row r="36" spans="1:6" x14ac:dyDescent="0.25">
      <c r="A36" s="40" t="s">
        <v>34</v>
      </c>
      <c r="B36" s="41"/>
      <c r="C36" s="27">
        <f>SUM(C37:C43)</f>
        <v>141883000</v>
      </c>
      <c r="D36" s="27">
        <f>SUM(D37:D43)</f>
        <v>133000000</v>
      </c>
      <c r="E36" s="42"/>
      <c r="F36" s="42"/>
    </row>
    <row r="37" spans="1:6" x14ac:dyDescent="0.25">
      <c r="A37" s="43" t="s">
        <v>35</v>
      </c>
      <c r="B37" s="44">
        <v>22</v>
      </c>
      <c r="C37" s="22">
        <v>3707000</v>
      </c>
      <c r="D37" s="22">
        <v>3707000</v>
      </c>
    </row>
    <row r="38" spans="1:6" x14ac:dyDescent="0.25">
      <c r="A38" s="43" t="s">
        <v>36</v>
      </c>
      <c r="B38" s="44">
        <v>22</v>
      </c>
      <c r="C38" s="17">
        <v>38412000</v>
      </c>
      <c r="D38" s="17">
        <v>38412000</v>
      </c>
    </row>
    <row r="39" spans="1:6" x14ac:dyDescent="0.25">
      <c r="A39" s="43" t="s">
        <v>37</v>
      </c>
      <c r="B39" s="44"/>
      <c r="C39" s="17">
        <v>737000</v>
      </c>
      <c r="D39" s="17">
        <v>257000</v>
      </c>
    </row>
    <row r="40" spans="1:6" x14ac:dyDescent="0.25">
      <c r="A40" s="43" t="s">
        <v>38</v>
      </c>
      <c r="B40" s="44">
        <v>23</v>
      </c>
      <c r="C40" s="17">
        <f>99966000-1476000</f>
        <v>98490000</v>
      </c>
      <c r="D40" s="17">
        <v>90691000</v>
      </c>
      <c r="E40" s="19"/>
    </row>
    <row r="41" spans="1:6" hidden="1" x14ac:dyDescent="0.25">
      <c r="A41" s="43" t="s">
        <v>39</v>
      </c>
      <c r="B41" s="44"/>
      <c r="C41" s="17"/>
      <c r="D41" s="17"/>
    </row>
    <row r="42" spans="1:6" ht="27" hidden="1" x14ac:dyDescent="0.25">
      <c r="A42" s="45" t="s">
        <v>40</v>
      </c>
      <c r="B42" s="44"/>
      <c r="C42" s="17"/>
      <c r="D42" s="17"/>
    </row>
    <row r="43" spans="1:6" x14ac:dyDescent="0.25">
      <c r="A43" s="45" t="s">
        <v>41</v>
      </c>
      <c r="B43" s="44"/>
      <c r="C43" s="17">
        <v>537000</v>
      </c>
      <c r="D43" s="17">
        <v>-67000</v>
      </c>
    </row>
    <row r="44" spans="1:6" ht="21.6" customHeight="1" x14ac:dyDescent="0.25">
      <c r="A44" s="40" t="s">
        <v>42</v>
      </c>
      <c r="B44" s="41">
        <v>23</v>
      </c>
      <c r="C44" s="14">
        <f>114318000+1476000</f>
        <v>115794000</v>
      </c>
      <c r="D44" s="14">
        <v>82456000</v>
      </c>
    </row>
    <row r="45" spans="1:6" x14ac:dyDescent="0.25">
      <c r="A45" s="40" t="s">
        <v>43</v>
      </c>
      <c r="B45" s="41"/>
      <c r="C45" s="14">
        <f>C46+C57</f>
        <v>161463000</v>
      </c>
      <c r="D45" s="14">
        <f>D46+D57</f>
        <v>63232000</v>
      </c>
    </row>
    <row r="46" spans="1:6" x14ac:dyDescent="0.25">
      <c r="A46" s="46" t="s">
        <v>44</v>
      </c>
      <c r="B46" s="47"/>
      <c r="C46" s="48">
        <f>SUM(C48:C56)</f>
        <v>84596000</v>
      </c>
      <c r="D46" s="49">
        <f>SUM(D48:D56)</f>
        <v>18519000</v>
      </c>
    </row>
    <row r="47" spans="1:6" hidden="1" x14ac:dyDescent="0.25">
      <c r="A47" s="43" t="s">
        <v>45</v>
      </c>
      <c r="B47" s="50"/>
      <c r="C47" s="22"/>
      <c r="D47" s="22"/>
    </row>
    <row r="48" spans="1:6" x14ac:dyDescent="0.25">
      <c r="A48" s="43" t="s">
        <v>46</v>
      </c>
      <c r="B48" s="51" t="s">
        <v>47</v>
      </c>
      <c r="C48" s="17">
        <v>19280000</v>
      </c>
      <c r="D48" s="17">
        <v>17565000</v>
      </c>
    </row>
    <row r="49" spans="1:5" x14ac:dyDescent="0.25">
      <c r="A49" s="43" t="s">
        <v>48</v>
      </c>
      <c r="B49" s="44">
        <v>24</v>
      </c>
      <c r="C49" s="17">
        <v>64503000</v>
      </c>
      <c r="D49" s="52">
        <v>0</v>
      </c>
      <c r="E49" s="19"/>
    </row>
    <row r="50" spans="1:5" hidden="1" x14ac:dyDescent="0.25">
      <c r="A50" s="43" t="s">
        <v>49</v>
      </c>
      <c r="B50" s="44">
        <v>36</v>
      </c>
      <c r="C50" s="17"/>
      <c r="D50" s="17"/>
    </row>
    <row r="51" spans="1:5" ht="15" customHeight="1" x14ac:dyDescent="0.25">
      <c r="A51" s="43" t="s">
        <v>50</v>
      </c>
      <c r="B51" s="44">
        <v>26</v>
      </c>
      <c r="C51" s="17">
        <v>342000</v>
      </c>
      <c r="D51" s="17">
        <v>144000</v>
      </c>
    </row>
    <row r="52" spans="1:5" ht="15" customHeight="1" x14ac:dyDescent="0.25">
      <c r="A52" s="53" t="s">
        <v>51</v>
      </c>
      <c r="B52" s="54"/>
      <c r="C52" s="17">
        <v>0</v>
      </c>
      <c r="D52" s="17">
        <v>21000</v>
      </c>
      <c r="E52" s="19"/>
    </row>
    <row r="53" spans="1:5" hidden="1" x14ac:dyDescent="0.25">
      <c r="A53" s="53" t="s">
        <v>52</v>
      </c>
      <c r="B53" s="54"/>
      <c r="C53" s="22"/>
      <c r="D53" s="22"/>
    </row>
    <row r="54" spans="1:5" ht="15" customHeight="1" x14ac:dyDescent="0.25">
      <c r="A54" s="53" t="s">
        <v>53</v>
      </c>
      <c r="B54" s="54">
        <v>10</v>
      </c>
      <c r="C54" s="22">
        <v>471000</v>
      </c>
      <c r="D54" s="22">
        <v>789000</v>
      </c>
      <c r="E54" s="19"/>
    </row>
    <row r="55" spans="1:5" hidden="1" x14ac:dyDescent="0.25">
      <c r="A55" s="53" t="s">
        <v>54</v>
      </c>
      <c r="B55" s="54">
        <v>35</v>
      </c>
      <c r="C55" s="22">
        <v>0</v>
      </c>
      <c r="D55" s="55">
        <v>0</v>
      </c>
    </row>
    <row r="56" spans="1:5" hidden="1" x14ac:dyDescent="0.25">
      <c r="A56" s="53" t="s">
        <v>55</v>
      </c>
      <c r="B56" s="54"/>
      <c r="C56" s="22">
        <v>0</v>
      </c>
      <c r="D56" s="55">
        <v>0</v>
      </c>
    </row>
    <row r="57" spans="1:5" x14ac:dyDescent="0.25">
      <c r="A57" s="56" t="s">
        <v>56</v>
      </c>
      <c r="B57" s="57"/>
      <c r="C57" s="27">
        <f>SUM(C58:C70)</f>
        <v>76867000</v>
      </c>
      <c r="D57" s="27">
        <f>SUM(D58:D70)</f>
        <v>44713000</v>
      </c>
    </row>
    <row r="58" spans="1:5" ht="15" customHeight="1" x14ac:dyDescent="0.25">
      <c r="A58" s="53" t="s">
        <v>57</v>
      </c>
      <c r="B58" s="58">
        <v>28</v>
      </c>
      <c r="C58" s="17">
        <v>33186000</v>
      </c>
      <c r="D58" s="17">
        <v>19252000</v>
      </c>
    </row>
    <row r="59" spans="1:5" hidden="1" x14ac:dyDescent="0.25">
      <c r="A59" s="53" t="s">
        <v>58</v>
      </c>
      <c r="B59" s="54">
        <v>6.21</v>
      </c>
      <c r="C59" s="17">
        <v>0</v>
      </c>
      <c r="D59" s="17">
        <v>0</v>
      </c>
    </row>
    <row r="60" spans="1:5" ht="15" customHeight="1" x14ac:dyDescent="0.25">
      <c r="A60" s="53" t="s">
        <v>59</v>
      </c>
      <c r="B60" s="54">
        <v>24</v>
      </c>
      <c r="C60" s="17">
        <v>7344000</v>
      </c>
      <c r="D60" s="17">
        <v>56000</v>
      </c>
    </row>
    <row r="61" spans="1:5" hidden="1" x14ac:dyDescent="0.25">
      <c r="A61" s="53" t="s">
        <v>60</v>
      </c>
      <c r="B61" s="54"/>
      <c r="C61" s="17"/>
      <c r="D61" s="17"/>
    </row>
    <row r="62" spans="1:5" x14ac:dyDescent="0.25">
      <c r="A62" s="53" t="s">
        <v>61</v>
      </c>
      <c r="B62" s="54">
        <v>25</v>
      </c>
      <c r="C62" s="17">
        <v>7407000</v>
      </c>
      <c r="D62" s="17">
        <v>4619000</v>
      </c>
      <c r="E62" s="19"/>
    </row>
    <row r="63" spans="1:5" ht="7.5" hidden="1" customHeight="1" x14ac:dyDescent="0.25">
      <c r="A63" s="53" t="s">
        <v>62</v>
      </c>
      <c r="B63" s="54">
        <v>33</v>
      </c>
      <c r="C63" s="17"/>
      <c r="D63" s="17"/>
    </row>
    <row r="64" spans="1:5" ht="15" customHeight="1" x14ac:dyDescent="0.25">
      <c r="A64" s="53" t="s">
        <v>63</v>
      </c>
      <c r="B64" s="54">
        <v>10</v>
      </c>
      <c r="C64" s="17">
        <v>2531000</v>
      </c>
      <c r="D64" s="17">
        <v>2090000</v>
      </c>
    </row>
    <row r="65" spans="1:7" ht="15" customHeight="1" x14ac:dyDescent="0.25">
      <c r="A65" s="53" t="s">
        <v>64</v>
      </c>
      <c r="B65" s="58">
        <v>10</v>
      </c>
      <c r="C65" s="17">
        <v>5104000</v>
      </c>
      <c r="D65" s="17">
        <v>3287000</v>
      </c>
      <c r="E65" s="19"/>
    </row>
    <row r="66" spans="1:7" ht="15" customHeight="1" x14ac:dyDescent="0.25">
      <c r="A66" s="53" t="s">
        <v>65</v>
      </c>
      <c r="B66" s="44">
        <v>26</v>
      </c>
      <c r="C66" s="17">
        <v>3040000</v>
      </c>
      <c r="D66" s="17">
        <v>1299000</v>
      </c>
    </row>
    <row r="67" spans="1:7" ht="15" customHeight="1" x14ac:dyDescent="0.25">
      <c r="A67" s="53" t="s">
        <v>66</v>
      </c>
      <c r="B67" s="44">
        <v>26</v>
      </c>
      <c r="C67" s="17">
        <v>4552000</v>
      </c>
      <c r="D67" s="17">
        <v>1067000</v>
      </c>
    </row>
    <row r="68" spans="1:7" ht="15" customHeight="1" x14ac:dyDescent="0.25">
      <c r="A68" s="53" t="s">
        <v>55</v>
      </c>
      <c r="B68" s="54">
        <v>30</v>
      </c>
      <c r="C68" s="17">
        <v>427000</v>
      </c>
      <c r="D68" s="17">
        <v>2336000</v>
      </c>
    </row>
    <row r="69" spans="1:7" ht="15" customHeight="1" x14ac:dyDescent="0.25">
      <c r="A69" s="59" t="s">
        <v>67</v>
      </c>
      <c r="B69" s="54">
        <v>27</v>
      </c>
      <c r="C69" s="17">
        <f>11605000+1671000</f>
        <v>13276000</v>
      </c>
      <c r="D69" s="17">
        <f>7135000+3572000</f>
        <v>10707000</v>
      </c>
      <c r="E69" s="19"/>
    </row>
    <row r="70" spans="1:7" ht="27" hidden="1" x14ac:dyDescent="0.25">
      <c r="A70" s="59" t="s">
        <v>68</v>
      </c>
      <c r="B70" s="54">
        <v>12</v>
      </c>
      <c r="C70" s="17">
        <v>0</v>
      </c>
      <c r="D70" s="60">
        <v>0</v>
      </c>
    </row>
    <row r="71" spans="1:7" x14ac:dyDescent="0.25">
      <c r="A71" s="30" t="s">
        <v>69</v>
      </c>
      <c r="B71" s="31"/>
      <c r="C71" s="61">
        <f>C36+C45+C44</f>
        <v>419140000</v>
      </c>
      <c r="D71" s="61">
        <f>D36+D45+D44</f>
        <v>278688000</v>
      </c>
      <c r="G71" s="42"/>
    </row>
    <row r="72" spans="1:7" ht="18" x14ac:dyDescent="0.35">
      <c r="A72" s="62"/>
      <c r="B72" s="63"/>
      <c r="C72" s="62"/>
      <c r="D72" s="62"/>
    </row>
    <row r="73" spans="1:7" ht="18" x14ac:dyDescent="0.35">
      <c r="A73" s="62"/>
      <c r="B73" s="63"/>
      <c r="C73" s="62"/>
      <c r="D73" s="62"/>
    </row>
    <row r="74" spans="1:7" ht="18" x14ac:dyDescent="0.35">
      <c r="A74" s="62"/>
      <c r="B74" s="63"/>
      <c r="C74" s="62"/>
      <c r="D74" s="62"/>
    </row>
    <row r="75" spans="1:7" ht="18" x14ac:dyDescent="0.35">
      <c r="A75" s="62"/>
      <c r="B75" s="63"/>
      <c r="C75" s="62"/>
      <c r="D75" s="62"/>
    </row>
    <row r="76" spans="1:7" ht="18" x14ac:dyDescent="0.35">
      <c r="A76" s="62"/>
      <c r="B76" s="63"/>
      <c r="C76" s="62"/>
      <c r="D76" s="62"/>
    </row>
    <row r="77" spans="1:7" ht="18" x14ac:dyDescent="0.35">
      <c r="A77" s="62"/>
      <c r="B77" s="63"/>
      <c r="C77" s="62"/>
      <c r="D77" s="62"/>
    </row>
    <row r="78" spans="1:7" ht="18" x14ac:dyDescent="0.35">
      <c r="A78" s="62"/>
      <c r="B78" s="63"/>
      <c r="C78" s="62"/>
      <c r="D78" s="62"/>
    </row>
    <row r="79" spans="1:7" ht="18" x14ac:dyDescent="0.35">
      <c r="A79" s="62"/>
      <c r="B79" s="63"/>
      <c r="C79" s="62"/>
      <c r="D79" s="62"/>
    </row>
    <row r="80" spans="1:7" ht="18" x14ac:dyDescent="0.35">
      <c r="A80" s="62"/>
      <c r="B80" s="63"/>
      <c r="C80" s="62"/>
      <c r="D80" s="62"/>
    </row>
    <row r="81" spans="1:4" ht="18" x14ac:dyDescent="0.35">
      <c r="A81" s="62"/>
      <c r="B81" s="63"/>
      <c r="C81" s="62"/>
      <c r="D81" s="62"/>
    </row>
    <row r="82" spans="1:4" ht="18" x14ac:dyDescent="0.35">
      <c r="A82" s="64"/>
      <c r="B82" s="63"/>
      <c r="C82" s="62"/>
      <c r="D82" s="62"/>
    </row>
    <row r="85" spans="1:4" x14ac:dyDescent="0.25">
      <c r="C85" s="25"/>
    </row>
    <row r="86" spans="1:4" x14ac:dyDescent="0.25">
      <c r="C86" s="66"/>
      <c r="D86" s="66"/>
    </row>
  </sheetData>
  <mergeCells count="10">
    <mergeCell ref="A33:A34"/>
    <mergeCell ref="B33:B34"/>
    <mergeCell ref="C33:D33"/>
    <mergeCell ref="A1:D1"/>
    <mergeCell ref="A2:D2"/>
    <mergeCell ref="A3:D3"/>
    <mergeCell ref="A5:D5"/>
    <mergeCell ref="A6:A7"/>
    <mergeCell ref="B6:B7"/>
    <mergeCell ref="C6:D6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headerFooter>
    <oddHeader>&amp;L&amp;"Montserrat,Standardowy"&amp;7&amp;K000000Roczne skonsolidowane sprawozdanie finansowe Grupy Ailleron SA za okres od 1 stycznia 2022 r. do 31 grudnia 2022 r.
(wszystkie kwoty podano w tys. PLN, o ile nie wskazano inaczej)</oddHeader>
    <oddFooter>&amp;C&amp;P</oddFooter>
  </headerFooter>
  <rowBreaks count="1" manualBreakCount="1">
    <brk id="31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F345E-D737-47B0-BEE0-18B9E55C028D}">
  <sheetPr>
    <tabColor rgb="FF00B0F0"/>
    <pageSetUpPr fitToPage="1"/>
  </sheetPr>
  <dimension ref="A1:K64"/>
  <sheetViews>
    <sheetView showGridLines="0" tabSelected="1" view="pageBreakPreview" zoomScale="115" zoomScaleNormal="100" zoomScaleSheetLayoutView="115" workbookViewId="0">
      <selection activeCell="F18" sqref="F18"/>
    </sheetView>
  </sheetViews>
  <sheetFormatPr defaultRowHeight="15" x14ac:dyDescent="0.25"/>
  <cols>
    <col min="1" max="1" width="50.85546875" style="7" customWidth="1"/>
    <col min="2" max="2" width="7.85546875" style="7" customWidth="1"/>
    <col min="3" max="4" width="15.85546875" style="7" customWidth="1"/>
    <col min="5" max="5" width="9.140625" style="7"/>
    <col min="6" max="6" width="11.140625" style="7" bestFit="1" customWidth="1"/>
    <col min="7" max="16384" width="9.140625" style="7"/>
  </cols>
  <sheetData>
    <row r="1" spans="1:11" s="67" customFormat="1" ht="35.1" customHeight="1" x14ac:dyDescent="0.2">
      <c r="A1" s="374" t="s">
        <v>70</v>
      </c>
      <c r="B1" s="374"/>
      <c r="C1" s="374"/>
      <c r="D1" s="374"/>
    </row>
    <row r="2" spans="1:11" ht="12.75" customHeight="1" x14ac:dyDescent="0.25">
      <c r="A2" s="379" t="s">
        <v>71</v>
      </c>
      <c r="B2" s="381" t="s">
        <v>5</v>
      </c>
      <c r="C2" s="383" t="s">
        <v>72</v>
      </c>
      <c r="D2" s="383"/>
    </row>
    <row r="3" spans="1:11" ht="39.75" customHeight="1" x14ac:dyDescent="0.25">
      <c r="A3" s="380"/>
      <c r="B3" s="382"/>
      <c r="C3" s="68" t="s">
        <v>73</v>
      </c>
      <c r="D3" s="69" t="s">
        <v>74</v>
      </c>
    </row>
    <row r="4" spans="1:11" x14ac:dyDescent="0.25">
      <c r="A4" s="70" t="s">
        <v>75</v>
      </c>
      <c r="B4" s="70"/>
      <c r="C4" s="71"/>
      <c r="D4" s="72"/>
    </row>
    <row r="5" spans="1:11" x14ac:dyDescent="0.25">
      <c r="A5" s="73" t="s">
        <v>76</v>
      </c>
      <c r="B5" s="74" t="s">
        <v>77</v>
      </c>
      <c r="C5" s="75">
        <f>413441000-C30</f>
        <v>410082000</v>
      </c>
      <c r="D5" s="75">
        <f>216832000-4384000</f>
        <v>212448000</v>
      </c>
      <c r="G5" s="42"/>
    </row>
    <row r="6" spans="1:11" hidden="1" x14ac:dyDescent="0.25">
      <c r="A6" s="76" t="s">
        <v>78</v>
      </c>
      <c r="B6" s="76"/>
      <c r="C6" s="22">
        <v>0</v>
      </c>
      <c r="D6" s="22">
        <v>0</v>
      </c>
    </row>
    <row r="7" spans="1:11" hidden="1" x14ac:dyDescent="0.25">
      <c r="A7" s="76" t="s">
        <v>79</v>
      </c>
      <c r="B7" s="76"/>
      <c r="C7" s="77">
        <v>201305000</v>
      </c>
      <c r="D7" s="77">
        <v>148506000</v>
      </c>
    </row>
    <row r="8" spans="1:11" hidden="1" x14ac:dyDescent="0.25">
      <c r="A8" s="76" t="s">
        <v>80</v>
      </c>
      <c r="B8" s="76"/>
      <c r="C8" s="77">
        <v>15527000</v>
      </c>
      <c r="D8" s="77">
        <v>7698000</v>
      </c>
    </row>
    <row r="9" spans="1:11" ht="25.5" x14ac:dyDescent="0.25">
      <c r="A9" s="78" t="s">
        <v>81</v>
      </c>
      <c r="B9" s="79"/>
      <c r="C9" s="75">
        <f>300585000-C31</f>
        <v>294826000</v>
      </c>
      <c r="D9" s="75">
        <f>146431000-4324000</f>
        <v>142107000</v>
      </c>
      <c r="K9" s="80"/>
    </row>
    <row r="10" spans="1:11" hidden="1" x14ac:dyDescent="0.25">
      <c r="A10" s="76" t="s">
        <v>82</v>
      </c>
      <c r="B10" s="76"/>
      <c r="C10" s="22">
        <v>0</v>
      </c>
      <c r="D10" s="22">
        <v>0</v>
      </c>
    </row>
    <row r="11" spans="1:11" hidden="1" x14ac:dyDescent="0.25">
      <c r="A11" s="76" t="s">
        <v>83</v>
      </c>
      <c r="B11" s="76"/>
      <c r="C11" s="81">
        <v>132209000</v>
      </c>
      <c r="D11" s="81">
        <v>101531000</v>
      </c>
      <c r="F11" s="82"/>
    </row>
    <row r="12" spans="1:11" hidden="1" x14ac:dyDescent="0.25">
      <c r="A12" s="76" t="s">
        <v>84</v>
      </c>
      <c r="B12" s="76"/>
      <c r="C12" s="81">
        <v>14222000</v>
      </c>
      <c r="D12" s="81">
        <v>6886000</v>
      </c>
    </row>
    <row r="13" spans="1:11" x14ac:dyDescent="0.25">
      <c r="A13" s="73" t="s">
        <v>85</v>
      </c>
      <c r="B13" s="73"/>
      <c r="C13" s="75">
        <f>C5-C9</f>
        <v>115256000</v>
      </c>
      <c r="D13" s="75">
        <f>D5-D9</f>
        <v>70341000</v>
      </c>
      <c r="F13" s="25"/>
      <c r="G13" s="25"/>
    </row>
    <row r="14" spans="1:11" x14ac:dyDescent="0.25">
      <c r="A14" s="76" t="s">
        <v>86</v>
      </c>
      <c r="B14" s="76"/>
      <c r="C14" s="77">
        <v>19713000</v>
      </c>
      <c r="D14" s="77">
        <v>21084000</v>
      </c>
      <c r="F14" s="25"/>
      <c r="G14" s="25"/>
    </row>
    <row r="15" spans="1:11" x14ac:dyDescent="0.25">
      <c r="A15" s="76" t="s">
        <v>87</v>
      </c>
      <c r="B15" s="76"/>
      <c r="C15" s="83">
        <v>41362000</v>
      </c>
      <c r="D15" s="77">
        <v>21860000</v>
      </c>
    </row>
    <row r="16" spans="1:11" x14ac:dyDescent="0.25">
      <c r="A16" s="76" t="s">
        <v>88</v>
      </c>
      <c r="B16" s="84">
        <v>9</v>
      </c>
      <c r="C16" s="77">
        <v>418000</v>
      </c>
      <c r="D16" s="77">
        <v>82000</v>
      </c>
      <c r="F16" s="25"/>
    </row>
    <row r="17" spans="1:8" x14ac:dyDescent="0.25">
      <c r="A17" s="76" t="s">
        <v>89</v>
      </c>
      <c r="B17" s="84">
        <v>9</v>
      </c>
      <c r="C17" s="77">
        <v>4025000</v>
      </c>
      <c r="D17" s="77">
        <v>115000</v>
      </c>
    </row>
    <row r="18" spans="1:8" x14ac:dyDescent="0.25">
      <c r="A18" s="73" t="s">
        <v>90</v>
      </c>
      <c r="B18" s="74"/>
      <c r="C18" s="85">
        <f>C13-C14-C15+C16-C17</f>
        <v>50574000</v>
      </c>
      <c r="D18" s="85">
        <f>D13-D14-D15+D16-D17</f>
        <v>27364000</v>
      </c>
      <c r="E18" s="82"/>
      <c r="F18" s="82"/>
      <c r="G18" s="86"/>
      <c r="H18" s="82"/>
    </row>
    <row r="19" spans="1:8" x14ac:dyDescent="0.25">
      <c r="A19" s="76" t="s">
        <v>91</v>
      </c>
      <c r="B19" s="84">
        <v>7</v>
      </c>
      <c r="C19" s="83">
        <v>2035000</v>
      </c>
      <c r="D19" s="83">
        <v>450000</v>
      </c>
    </row>
    <row r="20" spans="1:8" x14ac:dyDescent="0.25">
      <c r="A20" s="76" t="s">
        <v>92</v>
      </c>
      <c r="B20" s="84">
        <v>8</v>
      </c>
      <c r="C20" s="83">
        <v>2331000</v>
      </c>
      <c r="D20" s="83">
        <v>2278000</v>
      </c>
    </row>
    <row r="21" spans="1:8" hidden="1" x14ac:dyDescent="0.25">
      <c r="A21" s="76" t="s">
        <v>93</v>
      </c>
      <c r="B21" s="84"/>
      <c r="C21" s="17">
        <v>0</v>
      </c>
      <c r="D21" s="17">
        <v>0</v>
      </c>
    </row>
    <row r="22" spans="1:8" hidden="1" x14ac:dyDescent="0.25">
      <c r="A22" s="76" t="s">
        <v>94</v>
      </c>
      <c r="B22" s="84"/>
      <c r="C22" s="17">
        <v>0</v>
      </c>
      <c r="D22" s="17">
        <v>0</v>
      </c>
    </row>
    <row r="23" spans="1:8" x14ac:dyDescent="0.25">
      <c r="A23" s="79" t="s">
        <v>95</v>
      </c>
      <c r="B23" s="87"/>
      <c r="C23" s="85">
        <f>C18+C19-C20</f>
        <v>50278000</v>
      </c>
      <c r="D23" s="85">
        <f>D18+D19-D20</f>
        <v>25536000</v>
      </c>
    </row>
    <row r="24" spans="1:8" x14ac:dyDescent="0.25">
      <c r="A24" s="76"/>
      <c r="B24" s="84"/>
      <c r="C24" s="83"/>
      <c r="D24" s="83"/>
    </row>
    <row r="25" spans="1:8" x14ac:dyDescent="0.25">
      <c r="A25" s="79" t="s">
        <v>96</v>
      </c>
      <c r="B25" s="87">
        <v>10</v>
      </c>
      <c r="C25" s="85">
        <f>9333000-C33</f>
        <v>9789000</v>
      </c>
      <c r="D25" s="85">
        <f>8532000-11000</f>
        <v>8521000</v>
      </c>
    </row>
    <row r="26" spans="1:8" hidden="1" x14ac:dyDescent="0.25">
      <c r="A26" s="76" t="s">
        <v>97</v>
      </c>
      <c r="B26" s="76"/>
      <c r="C26" s="77">
        <v>8317000</v>
      </c>
      <c r="D26" s="77">
        <v>5414000</v>
      </c>
    </row>
    <row r="27" spans="1:8" hidden="1" x14ac:dyDescent="0.25">
      <c r="A27" s="76" t="s">
        <v>98</v>
      </c>
      <c r="B27" s="76"/>
      <c r="C27" s="77">
        <f>374000-159000</f>
        <v>215000</v>
      </c>
      <c r="D27" s="77">
        <v>-1321000</v>
      </c>
    </row>
    <row r="28" spans="1:8" x14ac:dyDescent="0.25">
      <c r="A28" s="79" t="s">
        <v>99</v>
      </c>
      <c r="B28" s="88">
        <v>12</v>
      </c>
      <c r="C28" s="75">
        <f>C23-C25</f>
        <v>40489000</v>
      </c>
      <c r="D28" s="75">
        <f>D23-D25</f>
        <v>17015000</v>
      </c>
    </row>
    <row r="29" spans="1:8" x14ac:dyDescent="0.25">
      <c r="A29" s="89" t="s">
        <v>100</v>
      </c>
      <c r="B29" s="88"/>
      <c r="C29" s="75"/>
      <c r="D29" s="75"/>
    </row>
    <row r="30" spans="1:8" x14ac:dyDescent="0.25">
      <c r="A30" s="90" t="s">
        <v>101</v>
      </c>
      <c r="B30" s="88"/>
      <c r="C30" s="75">
        <v>3359000</v>
      </c>
      <c r="D30" s="77">
        <v>4384000</v>
      </c>
    </row>
    <row r="31" spans="1:8" x14ac:dyDescent="0.25">
      <c r="A31" s="90" t="s">
        <v>102</v>
      </c>
      <c r="B31" s="88"/>
      <c r="C31" s="75">
        <v>5759000</v>
      </c>
      <c r="D31" s="75">
        <v>4324000</v>
      </c>
    </row>
    <row r="32" spans="1:8" x14ac:dyDescent="0.25">
      <c r="A32" s="90" t="s">
        <v>103</v>
      </c>
      <c r="B32" s="88"/>
      <c r="C32" s="77">
        <f>C30-C31</f>
        <v>-2400000</v>
      </c>
      <c r="D32" s="77">
        <f>D30-D31</f>
        <v>60000</v>
      </c>
    </row>
    <row r="33" spans="1:6" x14ac:dyDescent="0.25">
      <c r="A33" s="89" t="s">
        <v>96</v>
      </c>
      <c r="B33" s="88"/>
      <c r="C33" s="91">
        <f>C32*0.19</f>
        <v>-456000</v>
      </c>
      <c r="D33" s="91">
        <f>D32*0.19</f>
        <v>11400</v>
      </c>
    </row>
    <row r="34" spans="1:6" x14ac:dyDescent="0.25">
      <c r="A34" s="79" t="s">
        <v>104</v>
      </c>
      <c r="B34" s="88"/>
      <c r="C34" s="27">
        <f>C32-C33</f>
        <v>-1944000</v>
      </c>
      <c r="D34" s="27">
        <f>D32-D33</f>
        <v>48600</v>
      </c>
    </row>
    <row r="35" spans="1:6" hidden="1" x14ac:dyDescent="0.25">
      <c r="A35" s="79" t="s">
        <v>41</v>
      </c>
      <c r="B35" s="88"/>
      <c r="C35" s="27">
        <v>0</v>
      </c>
      <c r="D35" s="27">
        <v>0</v>
      </c>
    </row>
    <row r="36" spans="1:6" hidden="1" x14ac:dyDescent="0.25">
      <c r="A36" s="89" t="s">
        <v>105</v>
      </c>
      <c r="B36" s="88"/>
      <c r="C36" s="27">
        <f>C28-C35</f>
        <v>40489000</v>
      </c>
      <c r="D36" s="27">
        <f>D28-D35</f>
        <v>17015000</v>
      </c>
    </row>
    <row r="37" spans="1:6" x14ac:dyDescent="0.25">
      <c r="A37" s="92" t="s">
        <v>106</v>
      </c>
      <c r="B37" s="92"/>
      <c r="C37" s="93">
        <f>C28+C34</f>
        <v>38545000</v>
      </c>
      <c r="D37" s="93">
        <f>D28+D34</f>
        <v>17063600</v>
      </c>
      <c r="E37" s="42"/>
      <c r="F37" s="42"/>
    </row>
    <row r="38" spans="1:6" x14ac:dyDescent="0.25">
      <c r="A38" s="94"/>
      <c r="B38" s="94"/>
      <c r="C38" s="95"/>
      <c r="D38" s="95"/>
    </row>
    <row r="39" spans="1:6" s="67" customFormat="1" ht="35.1" customHeight="1" x14ac:dyDescent="0.2">
      <c r="A39" s="374" t="s">
        <v>107</v>
      </c>
      <c r="B39" s="374"/>
      <c r="C39" s="374"/>
      <c r="D39" s="374"/>
    </row>
    <row r="40" spans="1:6" x14ac:dyDescent="0.25">
      <c r="A40" s="384" t="s">
        <v>71</v>
      </c>
      <c r="B40" s="385" t="s">
        <v>5</v>
      </c>
      <c r="C40" s="387" t="s">
        <v>72</v>
      </c>
      <c r="D40" s="387"/>
    </row>
    <row r="41" spans="1:6" ht="40.5" x14ac:dyDescent="0.25">
      <c r="A41" s="384"/>
      <c r="B41" s="386"/>
      <c r="C41" s="97" t="str">
        <f>C3</f>
        <v>Okres 
zakończony 
31/12/2022</v>
      </c>
      <c r="D41" s="97" t="str">
        <f>D3</f>
        <v>Okres 
zakończony 31/12/2021</v>
      </c>
    </row>
    <row r="42" spans="1:6" x14ac:dyDescent="0.25">
      <c r="A42" s="98" t="s">
        <v>108</v>
      </c>
      <c r="B42" s="98"/>
      <c r="C42" s="99">
        <f>C37</f>
        <v>38545000</v>
      </c>
      <c r="D42" s="99">
        <f>D37</f>
        <v>17063600</v>
      </c>
    </row>
    <row r="43" spans="1:6" x14ac:dyDescent="0.25">
      <c r="A43" s="76" t="s">
        <v>109</v>
      </c>
      <c r="B43" s="76"/>
      <c r="C43" s="83">
        <v>13229000</v>
      </c>
      <c r="D43" s="77">
        <v>7454000</v>
      </c>
    </row>
    <row r="44" spans="1:6" ht="14.45" customHeight="1" x14ac:dyDescent="0.25">
      <c r="A44" s="98" t="s">
        <v>110</v>
      </c>
      <c r="B44" s="98"/>
      <c r="C44" s="17">
        <f>C42-C43</f>
        <v>25316000</v>
      </c>
      <c r="D44" s="22">
        <v>9610000</v>
      </c>
    </row>
    <row r="45" spans="1:6" x14ac:dyDescent="0.25">
      <c r="A45" s="76" t="s">
        <v>111</v>
      </c>
      <c r="B45" s="84">
        <v>12</v>
      </c>
      <c r="C45" s="375">
        <v>3.2583858983008707</v>
      </c>
      <c r="D45" s="377"/>
    </row>
    <row r="46" spans="1:6" x14ac:dyDescent="0.25">
      <c r="A46" s="76" t="s">
        <v>112</v>
      </c>
      <c r="B46" s="76"/>
      <c r="C46" s="376"/>
      <c r="D46" s="378"/>
    </row>
    <row r="47" spans="1:6" x14ac:dyDescent="0.25">
      <c r="A47" s="76" t="s">
        <v>113</v>
      </c>
      <c r="B47" s="76"/>
      <c r="C47" s="83"/>
      <c r="D47" s="83"/>
    </row>
    <row r="48" spans="1:6" x14ac:dyDescent="0.25">
      <c r="A48" s="76" t="s">
        <v>114</v>
      </c>
      <c r="B48" s="76"/>
      <c r="C48" s="100">
        <f>13229000/12355504</f>
        <v>1.070696913699352</v>
      </c>
      <c r="D48" s="100">
        <f>7454000/12355504</f>
        <v>0.60329388424786234</v>
      </c>
    </row>
    <row r="49" spans="1:7" x14ac:dyDescent="0.25">
      <c r="A49" s="101" t="s">
        <v>115</v>
      </c>
      <c r="B49" s="76"/>
      <c r="C49" s="100">
        <f>C48</f>
        <v>1.070696913699352</v>
      </c>
      <c r="D49" s="100">
        <f>D48</f>
        <v>0.60329388424786234</v>
      </c>
    </row>
    <row r="50" spans="1:7" x14ac:dyDescent="0.25">
      <c r="A50" s="101" t="s">
        <v>116</v>
      </c>
      <c r="B50" s="76"/>
      <c r="C50" s="83"/>
      <c r="D50" s="83"/>
    </row>
    <row r="51" spans="1:7" x14ac:dyDescent="0.25">
      <c r="A51" s="101" t="s">
        <v>114</v>
      </c>
      <c r="B51" s="76"/>
      <c r="C51" s="100">
        <f>C34/12355504</f>
        <v>-0.15733878601795603</v>
      </c>
      <c r="D51" s="100">
        <f>D34/12355504</f>
        <v>3.9334696504489015E-3</v>
      </c>
      <c r="G51" s="102"/>
    </row>
    <row r="52" spans="1:7" ht="17.25" customHeight="1" x14ac:dyDescent="0.25">
      <c r="A52" s="98" t="s">
        <v>115</v>
      </c>
      <c r="B52" s="98"/>
      <c r="C52" s="103">
        <f>C51</f>
        <v>-0.15733878601795603</v>
      </c>
      <c r="D52" s="103">
        <f>D51</f>
        <v>3.9334696504489015E-3</v>
      </c>
    </row>
    <row r="53" spans="1:7" ht="11.1" customHeight="1" x14ac:dyDescent="0.25">
      <c r="A53" s="104"/>
      <c r="B53" s="104"/>
      <c r="C53" s="105"/>
      <c r="D53" s="105"/>
    </row>
    <row r="59" spans="1:7" ht="16.5" x14ac:dyDescent="0.35">
      <c r="A59" s="106"/>
      <c r="B59" s="106"/>
    </row>
    <row r="64" spans="1:7" ht="16.5" x14ac:dyDescent="0.35">
      <c r="A64" s="107"/>
      <c r="B64" s="106"/>
    </row>
  </sheetData>
  <mergeCells count="10">
    <mergeCell ref="C45:C46"/>
    <mergeCell ref="D45:D46"/>
    <mergeCell ref="A1:D1"/>
    <mergeCell ref="A2:A3"/>
    <mergeCell ref="B2:B3"/>
    <mergeCell ref="C2:D2"/>
    <mergeCell ref="A39:D39"/>
    <mergeCell ref="A40:A41"/>
    <mergeCell ref="B40:B41"/>
    <mergeCell ref="C40:D40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&amp;L&amp;"Montserrat,Standardowy"&amp;7&amp;K000000Roczne skonsolidowane sprawozdanie finansowe Grupy Ailleron SA za okres od 1 stycznia 2022 r. do 31 grudnia 2022 r.
(wszystkie kwoty podano w tys. PLN, o ile nie wskazano inaczej)</oddHeader>
    <oddFooter>&amp;C&amp;P</oddFooter>
  </headerFooter>
  <rowBreaks count="1" manualBreakCount="1">
    <brk id="38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A91F-0347-4CB4-A3F2-84D42DE586D9}">
  <sheetPr>
    <tabColor rgb="FF00B0F0"/>
    <pageSetUpPr fitToPage="1"/>
  </sheetPr>
  <dimension ref="A1:I23"/>
  <sheetViews>
    <sheetView showGridLines="0" view="pageBreakPreview" zoomScale="120" zoomScaleNormal="100" zoomScaleSheetLayoutView="120" workbookViewId="0">
      <selection activeCell="A65" sqref="A65"/>
    </sheetView>
  </sheetViews>
  <sheetFormatPr defaultColWidth="9.140625" defaultRowHeight="15" x14ac:dyDescent="0.25"/>
  <cols>
    <col min="1" max="1" width="50.85546875" style="7" customWidth="1"/>
    <col min="2" max="2" width="7.85546875" style="7" customWidth="1"/>
    <col min="3" max="4" width="15.85546875" style="7" customWidth="1"/>
    <col min="5" max="16384" width="9.140625" style="7"/>
  </cols>
  <sheetData>
    <row r="1" spans="1:9" s="67" customFormat="1" ht="35.1" customHeight="1" x14ac:dyDescent="0.2">
      <c r="A1" s="388" t="s">
        <v>117</v>
      </c>
      <c r="B1" s="388"/>
      <c r="C1" s="388"/>
      <c r="D1" s="388"/>
    </row>
    <row r="2" spans="1:9" ht="17.25" customHeight="1" x14ac:dyDescent="0.25">
      <c r="A2" s="384" t="s">
        <v>118</v>
      </c>
      <c r="B2" s="385"/>
      <c r="C2" s="387" t="s">
        <v>72</v>
      </c>
      <c r="D2" s="387"/>
    </row>
    <row r="3" spans="1:9" ht="42.75" customHeight="1" x14ac:dyDescent="0.25">
      <c r="A3" s="384"/>
      <c r="B3" s="386"/>
      <c r="C3" s="108" t="s">
        <v>73</v>
      </c>
      <c r="D3" s="108" t="s">
        <v>74</v>
      </c>
    </row>
    <row r="4" spans="1:9" ht="14.45" customHeight="1" x14ac:dyDescent="0.25">
      <c r="A4" s="92" t="s">
        <v>106</v>
      </c>
      <c r="B4" s="79"/>
      <c r="C4" s="109">
        <f>RZIS_s!C37</f>
        <v>38545000</v>
      </c>
      <c r="D4" s="109">
        <f>RZIS_s!D37</f>
        <v>17063600</v>
      </c>
    </row>
    <row r="5" spans="1:9" ht="14.45" customHeight="1" x14ac:dyDescent="0.25">
      <c r="A5" s="76" t="s">
        <v>119</v>
      </c>
      <c r="B5" s="76"/>
      <c r="C5" s="110"/>
      <c r="D5" s="111"/>
      <c r="H5" s="112"/>
      <c r="I5" s="112"/>
    </row>
    <row r="6" spans="1:9" ht="14.45" customHeight="1" x14ac:dyDescent="0.25">
      <c r="A6" s="79" t="s">
        <v>41</v>
      </c>
      <c r="B6" s="79"/>
      <c r="C6" s="113">
        <v>1276000</v>
      </c>
      <c r="D6" s="114">
        <v>-117000</v>
      </c>
    </row>
    <row r="7" spans="1:9" x14ac:dyDescent="0.25">
      <c r="A7" s="92" t="s">
        <v>120</v>
      </c>
      <c r="B7" s="79"/>
      <c r="C7" s="115">
        <f>C6</f>
        <v>1276000</v>
      </c>
      <c r="D7" s="115">
        <f>D6</f>
        <v>-117000</v>
      </c>
    </row>
    <row r="8" spans="1:9" ht="17.45" customHeight="1" x14ac:dyDescent="0.25">
      <c r="A8" s="92" t="s">
        <v>121</v>
      </c>
      <c r="B8" s="92"/>
      <c r="C8" s="116">
        <f>C4+C7</f>
        <v>39821000</v>
      </c>
      <c r="D8" s="116">
        <f>D4+D7</f>
        <v>16946600</v>
      </c>
    </row>
    <row r="9" spans="1:9" x14ac:dyDescent="0.25">
      <c r="A9" s="76" t="s">
        <v>122</v>
      </c>
      <c r="B9" s="117"/>
      <c r="C9" s="118">
        <f>RZIS_s!C43+604000</f>
        <v>13833000</v>
      </c>
      <c r="D9" s="119">
        <v>7337000</v>
      </c>
      <c r="E9" s="19"/>
    </row>
    <row r="10" spans="1:9" x14ac:dyDescent="0.25">
      <c r="A10" s="76" t="s">
        <v>123</v>
      </c>
      <c r="B10" s="117"/>
      <c r="C10" s="118">
        <f>RZIS_s!C44+672000</f>
        <v>25988000</v>
      </c>
      <c r="D10" s="119">
        <v>9610000</v>
      </c>
      <c r="E10" s="19"/>
    </row>
    <row r="11" spans="1:9" x14ac:dyDescent="0.25">
      <c r="A11" s="120"/>
      <c r="B11" s="120"/>
      <c r="C11" s="121"/>
      <c r="D11" s="121"/>
    </row>
    <row r="12" spans="1:9" x14ac:dyDescent="0.25">
      <c r="C12" s="122"/>
      <c r="D12" s="122"/>
    </row>
    <row r="17" spans="1:2" ht="16.5" x14ac:dyDescent="0.35">
      <c r="A17" s="106"/>
      <c r="B17" s="106"/>
    </row>
    <row r="21" spans="1:2" ht="16.5" x14ac:dyDescent="0.35">
      <c r="A21" s="107"/>
      <c r="B21" s="106"/>
    </row>
    <row r="23" spans="1:2" ht="16.5" x14ac:dyDescent="0.35">
      <c r="A23" s="107"/>
      <c r="B23" s="106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&amp;L&amp;"Montserrat,Standardowy"&amp;7&amp;K000000Roczne skonsolidowane sprawozdanie finansowe Grupy Ailleron SA za okres od 1 stycznia 2022 r. do 31 grudnia 2022 r.
(wszystkie kwoty podano w tys. PLN, o ile nie wskazano inaczej)</oddHead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432CF-269C-46B2-A5A7-9718FBCEB0F6}">
  <sheetPr>
    <tabColor rgb="FF00B0F0"/>
  </sheetPr>
  <dimension ref="A1:G86"/>
  <sheetViews>
    <sheetView showGridLines="0" view="pageBreakPreview" zoomScaleNormal="100" zoomScaleSheetLayoutView="100" workbookViewId="0">
      <selection activeCell="D54" sqref="D1:F1048576"/>
    </sheetView>
  </sheetViews>
  <sheetFormatPr defaultRowHeight="15" x14ac:dyDescent="0.25"/>
  <cols>
    <col min="1" max="1" width="54.140625" style="139" customWidth="1"/>
    <col min="2" max="3" width="15.85546875" style="7" customWidth="1"/>
    <col min="4" max="4" width="15.42578125" style="7" customWidth="1"/>
    <col min="5" max="5" width="14.42578125" style="7" customWidth="1"/>
    <col min="6" max="16384" width="9.140625" style="7"/>
  </cols>
  <sheetData>
    <row r="1" spans="1:3" s="67" customFormat="1" ht="35.1" customHeight="1" x14ac:dyDescent="0.2">
      <c r="A1" s="389" t="s">
        <v>124</v>
      </c>
      <c r="B1" s="389"/>
      <c r="C1" s="389"/>
    </row>
    <row r="2" spans="1:3" x14ac:dyDescent="0.25">
      <c r="A2" s="390"/>
      <c r="B2" s="391" t="s">
        <v>72</v>
      </c>
      <c r="C2" s="391"/>
    </row>
    <row r="3" spans="1:3" ht="44.1" customHeight="1" x14ac:dyDescent="0.25">
      <c r="A3" s="390"/>
      <c r="B3" s="108" t="s">
        <v>125</v>
      </c>
      <c r="C3" s="108" t="s">
        <v>74</v>
      </c>
    </row>
    <row r="4" spans="1:3" x14ac:dyDescent="0.25">
      <c r="A4" s="123" t="s">
        <v>126</v>
      </c>
      <c r="B4" s="124"/>
      <c r="C4" s="124"/>
    </row>
    <row r="5" spans="1:3" x14ac:dyDescent="0.25">
      <c r="A5" s="78" t="s">
        <v>127</v>
      </c>
      <c r="B5" s="125">
        <f>RZIS_s!C37</f>
        <v>38545000</v>
      </c>
      <c r="C5" s="125">
        <f>RZIS_s!D37</f>
        <v>17063600</v>
      </c>
    </row>
    <row r="6" spans="1:3" x14ac:dyDescent="0.25">
      <c r="A6" s="78" t="s">
        <v>128</v>
      </c>
      <c r="B6" s="125">
        <f>SUM(B7:B34)</f>
        <v>21129000</v>
      </c>
      <c r="C6" s="125">
        <f>SUM(C7:C34)</f>
        <v>23155400</v>
      </c>
    </row>
    <row r="7" spans="1:3" x14ac:dyDescent="0.25">
      <c r="A7" s="126" t="s">
        <v>129</v>
      </c>
      <c r="B7" s="83">
        <f>RZIS_s!C33+RZIS_s!C25</f>
        <v>9333000</v>
      </c>
      <c r="C7" s="83">
        <f>RZIS_s!D25+RZIS_s!D33</f>
        <v>8532400</v>
      </c>
    </row>
    <row r="8" spans="1:3" hidden="1" x14ac:dyDescent="0.25">
      <c r="A8" s="126" t="s">
        <v>130</v>
      </c>
      <c r="B8" s="83">
        <v>0</v>
      </c>
      <c r="C8" s="83">
        <v>0</v>
      </c>
    </row>
    <row r="9" spans="1:3" x14ac:dyDescent="0.25">
      <c r="A9" s="126" t="s">
        <v>131</v>
      </c>
      <c r="B9" s="83">
        <f>'[50]8 '!D12</f>
        <v>1559000</v>
      </c>
      <c r="C9" s="83">
        <v>937000</v>
      </c>
    </row>
    <row r="10" spans="1:3" hidden="1" x14ac:dyDescent="0.25">
      <c r="A10" s="126" t="s">
        <v>132</v>
      </c>
      <c r="B10" s="83"/>
      <c r="C10" s="83"/>
    </row>
    <row r="11" spans="1:3" ht="25.5" x14ac:dyDescent="0.25">
      <c r="A11" s="126" t="s">
        <v>133</v>
      </c>
      <c r="B11" s="83">
        <f>-'[50]9 '!F6+'[50]9 '!F32</f>
        <v>2232000</v>
      </c>
      <c r="C11" s="83">
        <v>-147000</v>
      </c>
    </row>
    <row r="12" spans="1:3" x14ac:dyDescent="0.25">
      <c r="A12" s="126" t="s">
        <v>132</v>
      </c>
      <c r="B12" s="83">
        <v>0</v>
      </c>
      <c r="C12" s="83">
        <v>66000</v>
      </c>
    </row>
    <row r="13" spans="1:3" ht="25.5" hidden="1" x14ac:dyDescent="0.25">
      <c r="A13" s="126" t="s">
        <v>134</v>
      </c>
      <c r="B13" s="83"/>
      <c r="C13" s="83"/>
    </row>
    <row r="14" spans="1:3" hidden="1" x14ac:dyDescent="0.25">
      <c r="A14" s="126" t="s">
        <v>135</v>
      </c>
      <c r="B14" s="83"/>
      <c r="C14" s="83">
        <v>0</v>
      </c>
    </row>
    <row r="15" spans="1:3" hidden="1" x14ac:dyDescent="0.25">
      <c r="A15" s="126" t="s">
        <v>136</v>
      </c>
      <c r="B15" s="83"/>
      <c r="C15" s="83">
        <v>0</v>
      </c>
    </row>
    <row r="16" spans="1:3" ht="28.5" customHeight="1" x14ac:dyDescent="0.25">
      <c r="A16" s="126" t="s">
        <v>137</v>
      </c>
      <c r="B16" s="83">
        <f>'[50]7'!C46</f>
        <v>490000</v>
      </c>
      <c r="C16" s="83">
        <v>266000</v>
      </c>
    </row>
    <row r="17" spans="1:3" ht="25.5" hidden="1" x14ac:dyDescent="0.25">
      <c r="A17" s="126" t="s">
        <v>138</v>
      </c>
      <c r="B17" s="83"/>
      <c r="C17" s="83"/>
    </row>
    <row r="18" spans="1:3" hidden="1" x14ac:dyDescent="0.25">
      <c r="A18" s="126" t="s">
        <v>139</v>
      </c>
      <c r="B18" s="83"/>
      <c r="C18" s="83">
        <v>0</v>
      </c>
    </row>
    <row r="19" spans="1:3" ht="25.5" x14ac:dyDescent="0.25">
      <c r="A19" s="126" t="s">
        <v>140</v>
      </c>
      <c r="B19" s="83">
        <f>-'[50]9 '!F40</f>
        <v>-885000</v>
      </c>
      <c r="C19" s="83">
        <v>-244000</v>
      </c>
    </row>
    <row r="20" spans="1:3" ht="18" hidden="1" customHeight="1" x14ac:dyDescent="0.25">
      <c r="A20" s="127" t="s">
        <v>141</v>
      </c>
      <c r="B20" s="83"/>
      <c r="C20" s="83">
        <v>0</v>
      </c>
    </row>
    <row r="21" spans="1:3" x14ac:dyDescent="0.25">
      <c r="A21" s="126" t="s">
        <v>142</v>
      </c>
      <c r="B21" s="83">
        <f>'[50]6cd'!E72</f>
        <v>12950000</v>
      </c>
      <c r="C21" s="83">
        <v>8331000</v>
      </c>
    </row>
    <row r="22" spans="1:3" hidden="1" x14ac:dyDescent="0.25">
      <c r="A22" s="126" t="s">
        <v>143</v>
      </c>
      <c r="B22" s="83"/>
      <c r="C22" s="83"/>
    </row>
    <row r="23" spans="1:3" x14ac:dyDescent="0.25">
      <c r="A23" s="126" t="s">
        <v>144</v>
      </c>
      <c r="B23" s="83">
        <f>'[50]7'!C42-'[50]8 '!D28</f>
        <v>888000</v>
      </c>
      <c r="C23" s="83">
        <v>913000</v>
      </c>
    </row>
    <row r="24" spans="1:3" ht="14.1" customHeight="1" x14ac:dyDescent="0.25">
      <c r="A24" s="126" t="s">
        <v>145</v>
      </c>
      <c r="B24" s="83">
        <f>Bilans_s!C39+Bilans_s!C43-Bilans_s!D39-Bilans_s!D43</f>
        <v>1084000</v>
      </c>
      <c r="C24" s="83">
        <v>83000</v>
      </c>
    </row>
    <row r="25" spans="1:3" ht="16.5" customHeight="1" x14ac:dyDescent="0.25">
      <c r="A25" s="128" t="s">
        <v>146</v>
      </c>
      <c r="B25" s="83">
        <v>481000</v>
      </c>
      <c r="C25" s="83">
        <v>0</v>
      </c>
    </row>
    <row r="26" spans="1:3" ht="25.5" x14ac:dyDescent="0.25">
      <c r="A26" s="129" t="s">
        <v>147</v>
      </c>
      <c r="B26" s="83">
        <f>Bilans_s!D21-Bilans_s!C21+Bilans_s!D22-Bilans_s!C22</f>
        <v>-38906000</v>
      </c>
      <c r="C26" s="83">
        <v>-1454000</v>
      </c>
    </row>
    <row r="27" spans="1:3" ht="14.1" hidden="1" customHeight="1" x14ac:dyDescent="0.25">
      <c r="A27" s="129" t="s">
        <v>148</v>
      </c>
      <c r="B27" s="83"/>
      <c r="C27" s="83">
        <v>0</v>
      </c>
    </row>
    <row r="28" spans="1:3" x14ac:dyDescent="0.25">
      <c r="A28" s="129" t="s">
        <v>149</v>
      </c>
      <c r="B28" s="83">
        <f>Bilans_s!D20-Bilans_s!C20</f>
        <v>350000</v>
      </c>
      <c r="C28" s="83">
        <v>2635000</v>
      </c>
    </row>
    <row r="29" spans="1:3" x14ac:dyDescent="0.25">
      <c r="A29" s="129" t="s">
        <v>150</v>
      </c>
      <c r="B29" s="83">
        <f>Bilans_s!D27+Bilans_s!D18-Bilans_s!C18-Bilans_s!C27+Bilans_s!D23-Bilans_s!C23</f>
        <v>-20000</v>
      </c>
      <c r="C29" s="83">
        <v>1744000</v>
      </c>
    </row>
    <row r="30" spans="1:3" ht="26.1" customHeight="1" x14ac:dyDescent="0.25">
      <c r="A30" s="129" t="s">
        <v>151</v>
      </c>
      <c r="B30" s="83">
        <f>Bilans_s!C58+Bilans_s!C64+Bilans_s!C65-Bilans_s!D58-Bilans_s!D64-Bilans_s!D65+14188000</f>
        <v>30380000</v>
      </c>
      <c r="C30" s="83">
        <v>-612000</v>
      </c>
    </row>
    <row r="31" spans="1:3" ht="15.6" hidden="1" customHeight="1" x14ac:dyDescent="0.25">
      <c r="A31" s="129" t="s">
        <v>152</v>
      </c>
      <c r="B31" s="83"/>
      <c r="C31" s="83">
        <v>0</v>
      </c>
    </row>
    <row r="32" spans="1:3" x14ac:dyDescent="0.25">
      <c r="A32" s="129" t="s">
        <v>153</v>
      </c>
      <c r="B32" s="83">
        <f>Bilans_s!C66+Bilans_s!C51+Bilans_s!C54-Bilans_s!D51-Bilans_s!D54-Bilans_s!D52-Bilans_s!D67-Bilans_s!D66</f>
        <v>533000</v>
      </c>
      <c r="C32" s="83">
        <v>4000</v>
      </c>
    </row>
    <row r="33" spans="1:3" x14ac:dyDescent="0.25">
      <c r="A33" s="129" t="s">
        <v>154</v>
      </c>
      <c r="B33" s="83">
        <f>Bilans_s!C68-Bilans_s!D68</f>
        <v>-1909000</v>
      </c>
      <c r="C33" s="83">
        <v>1460000</v>
      </c>
    </row>
    <row r="34" spans="1:3" x14ac:dyDescent="0.25">
      <c r="A34" s="129" t="s">
        <v>155</v>
      </c>
      <c r="B34" s="83">
        <f>Bilans_s!C69-Bilans_s!D69</f>
        <v>2569000</v>
      </c>
      <c r="C34" s="83">
        <v>641000</v>
      </c>
    </row>
    <row r="35" spans="1:3" x14ac:dyDescent="0.25">
      <c r="A35" s="130" t="s">
        <v>156</v>
      </c>
      <c r="B35" s="75">
        <f>SUM(B5:B6)</f>
        <v>59674000</v>
      </c>
      <c r="C35" s="75">
        <f>SUM(C5:C6)</f>
        <v>40219000</v>
      </c>
    </row>
    <row r="36" spans="1:3" x14ac:dyDescent="0.25">
      <c r="A36" s="129" t="s">
        <v>157</v>
      </c>
      <c r="B36" s="77">
        <f>-B9-B23</f>
        <v>-2447000</v>
      </c>
      <c r="C36" s="77">
        <v>-1856000</v>
      </c>
    </row>
    <row r="37" spans="1:3" x14ac:dyDescent="0.25">
      <c r="A37" s="129" t="s">
        <v>158</v>
      </c>
      <c r="B37" s="83">
        <v>-11587000</v>
      </c>
      <c r="C37" s="77">
        <v>-12281000</v>
      </c>
    </row>
    <row r="38" spans="1:3" ht="22.5" customHeight="1" x14ac:dyDescent="0.25">
      <c r="A38" s="131" t="s">
        <v>159</v>
      </c>
      <c r="B38" s="75">
        <f>SUM(B35:B37)</f>
        <v>45640000</v>
      </c>
      <c r="C38" s="75">
        <f>SUM(C35:C37)</f>
        <v>26082000</v>
      </c>
    </row>
    <row r="39" spans="1:3" s="67" customFormat="1" ht="50.1" customHeight="1" x14ac:dyDescent="0.2">
      <c r="A39" s="392" t="s">
        <v>160</v>
      </c>
      <c r="B39" s="392"/>
      <c r="C39" s="392"/>
    </row>
    <row r="40" spans="1:3" x14ac:dyDescent="0.25">
      <c r="A40" s="390"/>
      <c r="B40" s="391" t="s">
        <v>72</v>
      </c>
      <c r="C40" s="391"/>
    </row>
    <row r="41" spans="1:3" ht="41.1" customHeight="1" x14ac:dyDescent="0.25">
      <c r="A41" s="390"/>
      <c r="B41" s="108" t="str">
        <f>B3</f>
        <v>Okres 
zakończony 31/12/2022</v>
      </c>
      <c r="C41" s="108" t="str">
        <f>C3</f>
        <v>Okres 
zakończony 31/12/2021</v>
      </c>
    </row>
    <row r="42" spans="1:3" ht="15" customHeight="1" x14ac:dyDescent="0.25">
      <c r="A42" s="123" t="s">
        <v>161</v>
      </c>
      <c r="B42" s="132"/>
      <c r="C42" s="133"/>
    </row>
    <row r="43" spans="1:3" hidden="1" x14ac:dyDescent="0.25">
      <c r="A43" s="129" t="s">
        <v>162</v>
      </c>
      <c r="B43" s="81">
        <v>0</v>
      </c>
      <c r="C43" s="134">
        <v>0</v>
      </c>
    </row>
    <row r="44" spans="1:3" hidden="1" x14ac:dyDescent="0.25">
      <c r="A44" s="129" t="s">
        <v>163</v>
      </c>
      <c r="B44" s="81">
        <v>0</v>
      </c>
      <c r="C44" s="134">
        <v>0</v>
      </c>
    </row>
    <row r="45" spans="1:3" hidden="1" x14ac:dyDescent="0.25">
      <c r="A45" s="129" t="s">
        <v>164</v>
      </c>
      <c r="B45" s="81">
        <v>0</v>
      </c>
      <c r="C45" s="134">
        <v>0</v>
      </c>
    </row>
    <row r="46" spans="1:3" x14ac:dyDescent="0.25">
      <c r="A46" s="126" t="s">
        <v>165</v>
      </c>
      <c r="B46" s="83">
        <v>-99474000</v>
      </c>
      <c r="C46" s="81">
        <v>-15784000</v>
      </c>
    </row>
    <row r="47" spans="1:3" hidden="1" x14ac:dyDescent="0.25">
      <c r="A47" s="129" t="s">
        <v>166</v>
      </c>
      <c r="B47" s="83"/>
      <c r="C47" s="81">
        <v>0</v>
      </c>
    </row>
    <row r="48" spans="1:3" x14ac:dyDescent="0.25">
      <c r="A48" s="129" t="s">
        <v>167</v>
      </c>
      <c r="B48" s="83">
        <f>-Bilans_s!C24</f>
        <v>-383000</v>
      </c>
      <c r="C48" s="81">
        <v>-276000</v>
      </c>
    </row>
    <row r="49" spans="1:4" hidden="1" x14ac:dyDescent="0.25">
      <c r="A49" s="129" t="s">
        <v>168</v>
      </c>
      <c r="B49" s="83"/>
      <c r="C49" s="81"/>
    </row>
    <row r="50" spans="1:4" x14ac:dyDescent="0.25">
      <c r="A50" s="129" t="s">
        <v>169</v>
      </c>
      <c r="B50" s="83">
        <v>10000</v>
      </c>
      <c r="C50" s="81">
        <v>20000</v>
      </c>
    </row>
    <row r="51" spans="1:4" hidden="1" x14ac:dyDescent="0.25">
      <c r="A51" s="129" t="s">
        <v>170</v>
      </c>
      <c r="B51" s="83"/>
      <c r="C51" s="81">
        <v>0</v>
      </c>
    </row>
    <row r="52" spans="1:4" x14ac:dyDescent="0.25">
      <c r="A52" s="129" t="s">
        <v>171</v>
      </c>
      <c r="B52" s="83">
        <v>0</v>
      </c>
      <c r="C52" s="81">
        <v>0</v>
      </c>
    </row>
    <row r="53" spans="1:4" x14ac:dyDescent="0.25">
      <c r="A53" s="126" t="s">
        <v>172</v>
      </c>
      <c r="B53" s="83">
        <f>-'[50]13-14'!M48</f>
        <v>-7914000</v>
      </c>
      <c r="C53" s="81">
        <v>-1774000</v>
      </c>
      <c r="D53" s="135"/>
    </row>
    <row r="54" spans="1:4" ht="23.25" customHeight="1" x14ac:dyDescent="0.25">
      <c r="A54" s="126" t="s">
        <v>173</v>
      </c>
      <c r="B54" s="83">
        <f>331000-2000</f>
        <v>329000</v>
      </c>
      <c r="C54" s="83">
        <v>349000</v>
      </c>
    </row>
    <row r="55" spans="1:4" x14ac:dyDescent="0.25">
      <c r="A55" s="126" t="s">
        <v>174</v>
      </c>
      <c r="B55" s="83">
        <f>-'[50]15'!J45-93000</f>
        <v>-19287000</v>
      </c>
      <c r="C55" s="83">
        <v>-10522000</v>
      </c>
    </row>
    <row r="56" spans="1:4" hidden="1" x14ac:dyDescent="0.25">
      <c r="A56" s="129"/>
      <c r="B56" s="83"/>
      <c r="C56" s="83"/>
    </row>
    <row r="57" spans="1:4" hidden="1" x14ac:dyDescent="0.25">
      <c r="A57" s="129" t="s">
        <v>175</v>
      </c>
      <c r="B57" s="83"/>
      <c r="C57" s="83"/>
    </row>
    <row r="58" spans="1:4" hidden="1" x14ac:dyDescent="0.25">
      <c r="A58" s="129" t="s">
        <v>176</v>
      </c>
      <c r="B58" s="83">
        <v>0</v>
      </c>
      <c r="C58" s="83">
        <v>0</v>
      </c>
    </row>
    <row r="59" spans="1:4" ht="25.35" customHeight="1" x14ac:dyDescent="0.25">
      <c r="A59" s="131" t="s">
        <v>177</v>
      </c>
      <c r="B59" s="85">
        <f>SUM(B43:B58)</f>
        <v>-126719000</v>
      </c>
      <c r="C59" s="85">
        <f>SUM(C43:C58)</f>
        <v>-27987000</v>
      </c>
    </row>
    <row r="60" spans="1:4" x14ac:dyDescent="0.25">
      <c r="A60" s="123" t="s">
        <v>178</v>
      </c>
      <c r="B60" s="85"/>
      <c r="C60" s="136"/>
    </row>
    <row r="61" spans="1:4" x14ac:dyDescent="0.25">
      <c r="A61" s="129" t="s">
        <v>179</v>
      </c>
      <c r="B61" s="83">
        <v>0</v>
      </c>
      <c r="C61" s="83">
        <v>108422000</v>
      </c>
    </row>
    <row r="62" spans="1:4" x14ac:dyDescent="0.25">
      <c r="A62" s="129" t="s">
        <v>170</v>
      </c>
      <c r="B62" s="83">
        <v>-3954000</v>
      </c>
      <c r="C62" s="83">
        <v>-3954000</v>
      </c>
    </row>
    <row r="63" spans="1:4" hidden="1" x14ac:dyDescent="0.25">
      <c r="A63" s="129" t="s">
        <v>180</v>
      </c>
      <c r="B63" s="83"/>
      <c r="C63" s="137">
        <v>0</v>
      </c>
    </row>
    <row r="64" spans="1:4" hidden="1" x14ac:dyDescent="0.25">
      <c r="A64" s="129" t="s">
        <v>181</v>
      </c>
      <c r="B64" s="83"/>
      <c r="C64" s="137">
        <v>0</v>
      </c>
    </row>
    <row r="65" spans="1:7" x14ac:dyDescent="0.25">
      <c r="A65" s="129" t="s">
        <v>182</v>
      </c>
      <c r="B65" s="83">
        <f>'[50]23-25'!G117*1000</f>
        <v>-4000</v>
      </c>
      <c r="C65" s="83">
        <v>-11366000</v>
      </c>
    </row>
    <row r="66" spans="1:7" x14ac:dyDescent="0.25">
      <c r="A66" s="129" t="s">
        <v>183</v>
      </c>
      <c r="B66" s="83">
        <f>-'[50]8 '!D4</f>
        <v>-764000</v>
      </c>
      <c r="C66" s="83">
        <v>-12000</v>
      </c>
    </row>
    <row r="67" spans="1:7" hidden="1" x14ac:dyDescent="0.25">
      <c r="A67" s="129" t="s">
        <v>184</v>
      </c>
      <c r="B67" s="83"/>
      <c r="C67" s="83"/>
    </row>
    <row r="68" spans="1:7" hidden="1" x14ac:dyDescent="0.25">
      <c r="A68" s="129" t="s">
        <v>181</v>
      </c>
      <c r="B68" s="83"/>
      <c r="C68" s="83"/>
    </row>
    <row r="69" spans="1:7" hidden="1" x14ac:dyDescent="0.25">
      <c r="A69" s="129" t="s">
        <v>185</v>
      </c>
      <c r="B69" s="83"/>
      <c r="C69" s="83">
        <v>0</v>
      </c>
    </row>
    <row r="70" spans="1:7" x14ac:dyDescent="0.25">
      <c r="A70" s="129" t="s">
        <v>186</v>
      </c>
      <c r="B70" s="83">
        <v>69884000</v>
      </c>
      <c r="C70" s="83">
        <v>0</v>
      </c>
    </row>
    <row r="71" spans="1:7" hidden="1" x14ac:dyDescent="0.25">
      <c r="A71" s="129" t="s">
        <v>187</v>
      </c>
      <c r="B71" s="83"/>
      <c r="C71" s="83"/>
    </row>
    <row r="72" spans="1:7" hidden="1" x14ac:dyDescent="0.25">
      <c r="A72" s="129" t="s">
        <v>188</v>
      </c>
      <c r="B72" s="83"/>
      <c r="C72" s="83"/>
    </row>
    <row r="73" spans="1:7" hidden="1" x14ac:dyDescent="0.25">
      <c r="A73" s="129" t="s">
        <v>189</v>
      </c>
      <c r="B73" s="83"/>
      <c r="C73" s="83"/>
    </row>
    <row r="74" spans="1:7" ht="27.75" customHeight="1" x14ac:dyDescent="0.25">
      <c r="A74" s="129" t="s">
        <v>190</v>
      </c>
      <c r="B74" s="83">
        <v>-6016000</v>
      </c>
      <c r="C74" s="83">
        <v>-3559000</v>
      </c>
      <c r="G74" s="25"/>
    </row>
    <row r="75" spans="1:7" ht="28.5" customHeight="1" x14ac:dyDescent="0.25">
      <c r="A75" s="131" t="s">
        <v>191</v>
      </c>
      <c r="B75" s="85">
        <f>SUM(B61:B74)</f>
        <v>59146000</v>
      </c>
      <c r="C75" s="85">
        <f>SUM(C61:C74)</f>
        <v>89531000</v>
      </c>
    </row>
    <row r="76" spans="1:7" x14ac:dyDescent="0.25">
      <c r="A76" s="138" t="s">
        <v>192</v>
      </c>
      <c r="B76" s="83">
        <f>B38+B59+B75</f>
        <v>-21933000</v>
      </c>
      <c r="C76" s="83">
        <f>C38+C59+C75</f>
        <v>87626000</v>
      </c>
    </row>
    <row r="77" spans="1:7" ht="17.45" customHeight="1" x14ac:dyDescent="0.25">
      <c r="A77" s="76" t="s">
        <v>193</v>
      </c>
      <c r="B77" s="83">
        <f>C81</f>
        <v>111339000</v>
      </c>
      <c r="C77" s="83">
        <v>23713000</v>
      </c>
    </row>
    <row r="78" spans="1:7" ht="17.45" customHeight="1" x14ac:dyDescent="0.25">
      <c r="A78" s="76" t="s">
        <v>194</v>
      </c>
      <c r="B78" s="83">
        <f>1800000-1800000</f>
        <v>0</v>
      </c>
      <c r="C78" s="77">
        <v>0</v>
      </c>
    </row>
    <row r="79" spans="1:7" hidden="1" x14ac:dyDescent="0.25">
      <c r="A79" s="76" t="s">
        <v>195</v>
      </c>
      <c r="B79" s="77">
        <v>0</v>
      </c>
      <c r="C79" s="77">
        <v>0</v>
      </c>
    </row>
    <row r="80" spans="1:7" hidden="1" x14ac:dyDescent="0.25">
      <c r="A80" s="76" t="s">
        <v>196</v>
      </c>
      <c r="B80" s="77">
        <v>0</v>
      </c>
      <c r="C80" s="77">
        <v>0</v>
      </c>
    </row>
    <row r="81" spans="1:6" ht="30.75" customHeight="1" x14ac:dyDescent="0.25">
      <c r="A81" s="96" t="s">
        <v>197</v>
      </c>
      <c r="B81" s="109">
        <f>B76+B77+B78</f>
        <v>89406000</v>
      </c>
      <c r="C81" s="109">
        <f>C76+C77</f>
        <v>111339000</v>
      </c>
      <c r="D81" s="82"/>
      <c r="E81" s="82"/>
      <c r="F81" s="82"/>
    </row>
    <row r="82" spans="1:6" ht="15" customHeight="1" x14ac:dyDescent="0.25"/>
    <row r="83" spans="1:6" ht="26.25" customHeight="1" x14ac:dyDescent="0.25">
      <c r="B83" s="25">
        <f>Bilans_s!C28-CF_s!B81</f>
        <v>0</v>
      </c>
      <c r="D83" s="82"/>
      <c r="E83" s="82"/>
    </row>
    <row r="84" spans="1:6" ht="23.45" customHeight="1" x14ac:dyDescent="0.25"/>
    <row r="85" spans="1:6" ht="27" customHeight="1" x14ac:dyDescent="0.3">
      <c r="A85" s="140"/>
    </row>
    <row r="86" spans="1:6" ht="18" customHeight="1" x14ac:dyDescent="0.25"/>
  </sheetData>
  <mergeCells count="6">
    <mergeCell ref="A1:C1"/>
    <mergeCell ref="A2:A3"/>
    <mergeCell ref="B2:C2"/>
    <mergeCell ref="A39:C39"/>
    <mergeCell ref="A40:A41"/>
    <mergeCell ref="B40:C40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&amp;L&amp;"Montserrat,Standardowy"&amp;7&amp;K000000Roczne skonsolidowane sprawozdanie finansowe Grupy Ailleron SA za okres od 1 stycznia 2022 r. do 31 grudnia 2022 r.
(wszystkie kwoty podano w tys. PLN, o ile nie wskazano inaczej)</oddHeader>
    <oddFooter>&amp;C&amp;P</oddFooter>
  </headerFooter>
  <rowBreaks count="1" manualBreakCount="1">
    <brk id="38" max="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2B15-C333-4CE0-899D-5948F74AE301}">
  <sheetPr>
    <tabColor rgb="FF00B0F0"/>
    <pageSetUpPr fitToPage="1"/>
  </sheetPr>
  <dimension ref="A1:R33"/>
  <sheetViews>
    <sheetView showGridLines="0" view="pageBreakPreview" zoomScale="130" zoomScaleNormal="100" zoomScaleSheetLayoutView="130" workbookViewId="0">
      <selection activeCell="J10" sqref="J1:Q1048576"/>
    </sheetView>
  </sheetViews>
  <sheetFormatPr defaultColWidth="9.140625" defaultRowHeight="18" x14ac:dyDescent="0.35"/>
  <cols>
    <col min="1" max="1" width="48.7109375" style="141" customWidth="1"/>
    <col min="2" max="2" width="11.7109375" style="141" customWidth="1"/>
    <col min="3" max="3" width="11.28515625" style="141" customWidth="1"/>
    <col min="4" max="4" width="9.85546875" style="141" customWidth="1"/>
    <col min="5" max="5" width="11.5703125" style="141" customWidth="1"/>
    <col min="6" max="6" width="11.42578125" style="141" customWidth="1"/>
    <col min="7" max="7" width="14.28515625" style="141" customWidth="1"/>
    <col min="8" max="8" width="13.85546875" style="141" customWidth="1"/>
    <col min="9" max="9" width="10.85546875" style="141" customWidth="1"/>
    <col min="10" max="10" width="11.42578125" style="141" bestFit="1" customWidth="1"/>
    <col min="11" max="11" width="12.7109375" style="141" bestFit="1" customWidth="1"/>
    <col min="12" max="12" width="9.28515625" style="141" bestFit="1" customWidth="1"/>
    <col min="13" max="14" width="12.7109375" style="141" bestFit="1" customWidth="1"/>
    <col min="15" max="15" width="14.5703125" style="141" customWidth="1"/>
    <col min="16" max="16" width="14.85546875" style="141" customWidth="1"/>
    <col min="17" max="17" width="9.140625" style="141"/>
    <col min="18" max="18" width="9.85546875" style="141" bestFit="1" customWidth="1"/>
    <col min="19" max="16384" width="9.140625" style="141"/>
  </cols>
  <sheetData>
    <row r="1" spans="1:18" ht="62.1" customHeight="1" x14ac:dyDescent="0.35">
      <c r="A1" s="392" t="s">
        <v>198</v>
      </c>
      <c r="B1" s="392"/>
      <c r="C1" s="392"/>
      <c r="D1" s="392"/>
      <c r="E1" s="392"/>
      <c r="F1" s="392"/>
      <c r="G1" s="392"/>
      <c r="H1" s="392"/>
      <c r="I1" s="392"/>
    </row>
    <row r="2" spans="1:18" s="143" customFormat="1" ht="12.75" x14ac:dyDescent="0.25">
      <c r="A2" s="393"/>
      <c r="B2" s="395" t="s">
        <v>72</v>
      </c>
      <c r="C2" s="391"/>
      <c r="D2" s="391"/>
      <c r="E2" s="391"/>
      <c r="F2" s="391"/>
      <c r="G2" s="391"/>
      <c r="H2" s="391"/>
      <c r="I2" s="391"/>
      <c r="J2" s="142"/>
    </row>
    <row r="3" spans="1:18" s="147" customFormat="1" ht="88.5" customHeight="1" x14ac:dyDescent="0.25">
      <c r="A3" s="394"/>
      <c r="B3" s="144" t="s">
        <v>199</v>
      </c>
      <c r="C3" s="145" t="s">
        <v>200</v>
      </c>
      <c r="D3" s="145" t="s">
        <v>37</v>
      </c>
      <c r="E3" s="145" t="s">
        <v>38</v>
      </c>
      <c r="F3" s="146" t="s">
        <v>201</v>
      </c>
      <c r="G3" s="145" t="s">
        <v>202</v>
      </c>
      <c r="H3" s="146" t="s">
        <v>42</v>
      </c>
      <c r="I3" s="144" t="s">
        <v>203</v>
      </c>
    </row>
    <row r="4" spans="1:18" s="143" customFormat="1" ht="15" customHeight="1" x14ac:dyDescent="0.25">
      <c r="A4" s="148" t="s">
        <v>204</v>
      </c>
      <c r="B4" s="149">
        <v>3707</v>
      </c>
      <c r="C4" s="150">
        <v>38412</v>
      </c>
      <c r="D4" s="150">
        <v>0</v>
      </c>
      <c r="E4" s="150">
        <v>52937</v>
      </c>
      <c r="F4" s="151">
        <v>50</v>
      </c>
      <c r="G4" s="150">
        <f>B4+D4+C4+E4+F4</f>
        <v>95106</v>
      </c>
      <c r="H4" s="152">
        <v>0</v>
      </c>
      <c r="I4" s="150">
        <f>G4+H4</f>
        <v>95106</v>
      </c>
    </row>
    <row r="5" spans="1:18" s="143" customFormat="1" ht="15" customHeight="1" x14ac:dyDescent="0.25">
      <c r="A5" s="148" t="s">
        <v>205</v>
      </c>
      <c r="B5" s="153">
        <v>0</v>
      </c>
      <c r="C5" s="153">
        <v>0</v>
      </c>
      <c r="D5" s="153">
        <v>0</v>
      </c>
      <c r="E5" s="153">
        <f>RZIS_s!D43/1000</f>
        <v>7454</v>
      </c>
      <c r="F5" s="154">
        <v>0</v>
      </c>
      <c r="G5" s="153">
        <f>B5+D5+C5+E5+F5</f>
        <v>7454</v>
      </c>
      <c r="H5" s="155">
        <f>RZIS_s!D44/1000</f>
        <v>9610</v>
      </c>
      <c r="I5" s="153">
        <f>G5+H5</f>
        <v>17064</v>
      </c>
    </row>
    <row r="6" spans="1:18" s="143" customFormat="1" ht="15" customHeight="1" x14ac:dyDescent="0.25">
      <c r="A6" s="156" t="s">
        <v>206</v>
      </c>
      <c r="B6" s="153">
        <v>0</v>
      </c>
      <c r="C6" s="153">
        <v>0</v>
      </c>
      <c r="D6" s="153">
        <v>0</v>
      </c>
      <c r="E6" s="153">
        <v>0</v>
      </c>
      <c r="F6" s="154">
        <f>SSCD_s!D6/1000</f>
        <v>-117</v>
      </c>
      <c r="G6" s="153">
        <f>B6+D6+C6+E6+F6</f>
        <v>-117</v>
      </c>
      <c r="H6" s="155">
        <v>0</v>
      </c>
      <c r="I6" s="153">
        <f>G6+H6</f>
        <v>-117</v>
      </c>
    </row>
    <row r="7" spans="1:18" s="143" customFormat="1" ht="15" customHeight="1" x14ac:dyDescent="0.25">
      <c r="A7" s="156" t="s">
        <v>207</v>
      </c>
      <c r="B7" s="149">
        <f t="shared" ref="B7:H7" si="0">B5+B6</f>
        <v>0</v>
      </c>
      <c r="C7" s="150">
        <f t="shared" si="0"/>
        <v>0</v>
      </c>
      <c r="D7" s="150">
        <f t="shared" si="0"/>
        <v>0</v>
      </c>
      <c r="E7" s="150">
        <f t="shared" si="0"/>
        <v>7454</v>
      </c>
      <c r="F7" s="151">
        <f t="shared" si="0"/>
        <v>-117</v>
      </c>
      <c r="G7" s="150">
        <f t="shared" si="0"/>
        <v>7337</v>
      </c>
      <c r="H7" s="152">
        <f t="shared" si="0"/>
        <v>9610</v>
      </c>
      <c r="I7" s="150">
        <f>G7+H7</f>
        <v>16947</v>
      </c>
    </row>
    <row r="8" spans="1:18" s="143" customFormat="1" ht="15" customHeight="1" x14ac:dyDescent="0.25">
      <c r="A8" s="157" t="s">
        <v>208</v>
      </c>
      <c r="B8" s="158">
        <v>0</v>
      </c>
      <c r="C8" s="159">
        <v>0</v>
      </c>
      <c r="D8" s="159">
        <v>0</v>
      </c>
      <c r="E8" s="159">
        <v>34254</v>
      </c>
      <c r="F8" s="160">
        <v>0</v>
      </c>
      <c r="G8" s="159">
        <f>E8</f>
        <v>34254</v>
      </c>
      <c r="H8" s="161">
        <v>70799</v>
      </c>
      <c r="I8" s="159">
        <f t="shared" ref="I8:I10" si="1">G8+H8</f>
        <v>105053</v>
      </c>
    </row>
    <row r="9" spans="1:18" s="143" customFormat="1" ht="15" customHeight="1" x14ac:dyDescent="0.25">
      <c r="A9" s="157" t="s">
        <v>209</v>
      </c>
      <c r="B9" s="162">
        <v>0</v>
      </c>
      <c r="C9" s="153">
        <v>0</v>
      </c>
      <c r="D9" s="153">
        <v>0</v>
      </c>
      <c r="E9" s="153">
        <v>0</v>
      </c>
      <c r="F9" s="154">
        <v>0</v>
      </c>
      <c r="G9" s="153">
        <v>0</v>
      </c>
      <c r="H9" s="155">
        <v>2047</v>
      </c>
      <c r="I9" s="162">
        <f t="shared" si="1"/>
        <v>2047</v>
      </c>
    </row>
    <row r="10" spans="1:18" s="143" customFormat="1" ht="15" customHeight="1" x14ac:dyDescent="0.25">
      <c r="A10" s="157" t="s">
        <v>210</v>
      </c>
      <c r="B10" s="162">
        <v>0</v>
      </c>
      <c r="C10" s="153">
        <v>0</v>
      </c>
      <c r="D10" s="153">
        <v>257</v>
      </c>
      <c r="E10" s="153">
        <v>0</v>
      </c>
      <c r="F10" s="154">
        <v>0</v>
      </c>
      <c r="G10" s="153">
        <f>D10</f>
        <v>257</v>
      </c>
      <c r="H10" s="155">
        <v>0</v>
      </c>
      <c r="I10" s="162">
        <f t="shared" si="1"/>
        <v>257</v>
      </c>
    </row>
    <row r="11" spans="1:18" s="143" customFormat="1" ht="15" customHeight="1" x14ac:dyDescent="0.25">
      <c r="A11" s="156" t="s">
        <v>211</v>
      </c>
      <c r="B11" s="163">
        <v>0</v>
      </c>
      <c r="C11" s="164">
        <v>0</v>
      </c>
      <c r="D11" s="164">
        <v>0</v>
      </c>
      <c r="E11" s="164">
        <v>-3954</v>
      </c>
      <c r="F11" s="165">
        <v>0</v>
      </c>
      <c r="G11" s="164">
        <f>B11+D11+C11+E11+F11</f>
        <v>-3954</v>
      </c>
      <c r="H11" s="166">
        <v>0</v>
      </c>
      <c r="I11" s="163">
        <f>G11+H11</f>
        <v>-3954</v>
      </c>
    </row>
    <row r="12" spans="1:18" s="143" customFormat="1" ht="15" customHeight="1" x14ac:dyDescent="0.25">
      <c r="A12" s="157" t="s">
        <v>212</v>
      </c>
      <c r="B12" s="150">
        <f t="shared" ref="B12:D12" si="2">SUM(B7:B11)</f>
        <v>0</v>
      </c>
      <c r="C12" s="150">
        <f t="shared" si="2"/>
        <v>0</v>
      </c>
      <c r="D12" s="150">
        <f t="shared" si="2"/>
        <v>257</v>
      </c>
      <c r="E12" s="150">
        <f>SUM(E7:E11)</f>
        <v>37754</v>
      </c>
      <c r="F12" s="152">
        <f>SUM(F7:F11)</f>
        <v>-117</v>
      </c>
      <c r="G12" s="150">
        <f>SUM(G7:G11)</f>
        <v>37894</v>
      </c>
      <c r="H12" s="150">
        <f>SUM(H7:H11)</f>
        <v>82456</v>
      </c>
      <c r="I12" s="149">
        <f>G12+H12</f>
        <v>120350</v>
      </c>
    </row>
    <row r="13" spans="1:18" s="143" customFormat="1" ht="15" customHeight="1" x14ac:dyDescent="0.25">
      <c r="A13" s="167" t="s">
        <v>213</v>
      </c>
      <c r="B13" s="153">
        <f t="shared" ref="B13:I13" si="3">B4+B12</f>
        <v>3707</v>
      </c>
      <c r="C13" s="153">
        <f t="shared" si="3"/>
        <v>38412</v>
      </c>
      <c r="D13" s="153">
        <f t="shared" si="3"/>
        <v>257</v>
      </c>
      <c r="E13" s="153">
        <f t="shared" si="3"/>
        <v>90691</v>
      </c>
      <c r="F13" s="166">
        <f t="shared" si="3"/>
        <v>-67</v>
      </c>
      <c r="G13" s="164">
        <f t="shared" si="3"/>
        <v>133000</v>
      </c>
      <c r="H13" s="166">
        <f t="shared" si="3"/>
        <v>82456</v>
      </c>
      <c r="I13" s="153">
        <f t="shared" si="3"/>
        <v>215456</v>
      </c>
      <c r="J13" s="168"/>
      <c r="K13" s="168"/>
      <c r="M13" s="168"/>
      <c r="N13" s="168"/>
    </row>
    <row r="14" spans="1:18" s="143" customFormat="1" ht="28.5" customHeight="1" x14ac:dyDescent="0.25">
      <c r="A14" s="169"/>
      <c r="B14" s="170"/>
      <c r="C14" s="170"/>
      <c r="D14" s="170"/>
      <c r="E14" s="170"/>
      <c r="F14" s="170"/>
      <c r="G14" s="170"/>
      <c r="H14" s="170"/>
      <c r="I14" s="170"/>
      <c r="R14" s="171"/>
    </row>
    <row r="15" spans="1:18" s="143" customFormat="1" ht="15" customHeight="1" x14ac:dyDescent="0.25">
      <c r="A15" s="172" t="s">
        <v>214</v>
      </c>
      <c r="B15" s="149">
        <f>B13</f>
        <v>3707</v>
      </c>
      <c r="C15" s="150">
        <f>C13</f>
        <v>38412</v>
      </c>
      <c r="D15" s="150">
        <f>D13</f>
        <v>257</v>
      </c>
      <c r="E15" s="150">
        <f>E13</f>
        <v>90691</v>
      </c>
      <c r="F15" s="152">
        <f>F13</f>
        <v>-67</v>
      </c>
      <c r="G15" s="150">
        <f>B15+D15+C15+E15+F15</f>
        <v>133000</v>
      </c>
      <c r="H15" s="152">
        <f>H13</f>
        <v>82456</v>
      </c>
      <c r="I15" s="150">
        <f t="shared" ref="I15:I22" si="4">G15+H15</f>
        <v>215456</v>
      </c>
    </row>
    <row r="16" spans="1:18" s="143" customFormat="1" ht="15" customHeight="1" x14ac:dyDescent="0.25">
      <c r="A16" s="172" t="s">
        <v>205</v>
      </c>
      <c r="B16" s="162">
        <v>0</v>
      </c>
      <c r="C16" s="153">
        <v>0</v>
      </c>
      <c r="D16" s="153">
        <v>0</v>
      </c>
      <c r="E16" s="153">
        <f>RZIS_s!C43/1000</f>
        <v>13229</v>
      </c>
      <c r="F16" s="155">
        <v>0</v>
      </c>
      <c r="G16" s="159">
        <f>B16+D16+C16+E16+F16</f>
        <v>13229</v>
      </c>
      <c r="H16" s="153">
        <f>RZIS_s!C44/1000</f>
        <v>25316</v>
      </c>
      <c r="I16" s="158">
        <f t="shared" si="4"/>
        <v>38545</v>
      </c>
    </row>
    <row r="17" spans="1:16" s="143" customFormat="1" ht="15" customHeight="1" x14ac:dyDescent="0.25">
      <c r="A17" s="173" t="s">
        <v>206</v>
      </c>
      <c r="B17" s="162">
        <v>0</v>
      </c>
      <c r="C17" s="153">
        <v>0</v>
      </c>
      <c r="D17" s="153">
        <v>0</v>
      </c>
      <c r="E17" s="153">
        <v>0</v>
      </c>
      <c r="F17" s="155">
        <v>604</v>
      </c>
      <c r="G17" s="153">
        <f>B17+D17+C17+E17+F17</f>
        <v>604</v>
      </c>
      <c r="H17" s="153">
        <v>672</v>
      </c>
      <c r="I17" s="162">
        <f t="shared" si="4"/>
        <v>1276</v>
      </c>
    </row>
    <row r="18" spans="1:16" s="143" customFormat="1" ht="15" customHeight="1" x14ac:dyDescent="0.25">
      <c r="A18" s="90" t="s">
        <v>207</v>
      </c>
      <c r="B18" s="149">
        <f t="shared" ref="B18:H18" si="5">B16+B17</f>
        <v>0</v>
      </c>
      <c r="C18" s="150">
        <f t="shared" si="5"/>
        <v>0</v>
      </c>
      <c r="D18" s="150">
        <f t="shared" si="5"/>
        <v>0</v>
      </c>
      <c r="E18" s="150">
        <f t="shared" si="5"/>
        <v>13229</v>
      </c>
      <c r="F18" s="152">
        <f t="shared" si="5"/>
        <v>604</v>
      </c>
      <c r="G18" s="150">
        <f t="shared" si="5"/>
        <v>13833</v>
      </c>
      <c r="H18" s="150">
        <f t="shared" si="5"/>
        <v>25988</v>
      </c>
      <c r="I18" s="149">
        <f t="shared" si="4"/>
        <v>39821</v>
      </c>
    </row>
    <row r="19" spans="1:16" s="143" customFormat="1" ht="15" customHeight="1" x14ac:dyDescent="0.25">
      <c r="A19" s="173" t="s">
        <v>215</v>
      </c>
      <c r="B19" s="162">
        <v>0</v>
      </c>
      <c r="C19" s="153">
        <v>0</v>
      </c>
      <c r="D19" s="153">
        <v>0</v>
      </c>
      <c r="E19" s="153">
        <v>0</v>
      </c>
      <c r="F19" s="155">
        <v>0</v>
      </c>
      <c r="G19" s="153">
        <v>0</v>
      </c>
      <c r="H19" s="153">
        <v>5874</v>
      </c>
      <c r="I19" s="162">
        <f t="shared" si="4"/>
        <v>5874</v>
      </c>
    </row>
    <row r="20" spans="1:16" s="176" customFormat="1" ht="14.25" customHeight="1" x14ac:dyDescent="0.25">
      <c r="A20" s="127" t="s">
        <v>208</v>
      </c>
      <c r="B20" s="174">
        <v>0</v>
      </c>
      <c r="C20" s="175">
        <v>0</v>
      </c>
      <c r="D20" s="175">
        <v>0</v>
      </c>
      <c r="E20" s="175">
        <v>-1476</v>
      </c>
      <c r="F20" s="154">
        <v>0</v>
      </c>
      <c r="G20" s="175">
        <f>B20+D20+C20+E20+F20</f>
        <v>-1476</v>
      </c>
      <c r="H20" s="175">
        <v>1476</v>
      </c>
      <c r="I20" s="174">
        <f t="shared" si="4"/>
        <v>0</v>
      </c>
    </row>
    <row r="21" spans="1:16" s="143" customFormat="1" ht="15" customHeight="1" x14ac:dyDescent="0.25">
      <c r="A21" s="173" t="s">
        <v>210</v>
      </c>
      <c r="B21" s="162">
        <v>0</v>
      </c>
      <c r="C21" s="153">
        <v>0</v>
      </c>
      <c r="D21" s="153">
        <v>480</v>
      </c>
      <c r="E21" s="153">
        <v>0</v>
      </c>
      <c r="F21" s="155">
        <v>0</v>
      </c>
      <c r="G21" s="153">
        <f>B21+D21+C21+E21+F21</f>
        <v>480</v>
      </c>
      <c r="H21" s="153">
        <v>0</v>
      </c>
      <c r="I21" s="162">
        <f t="shared" si="4"/>
        <v>480</v>
      </c>
    </row>
    <row r="22" spans="1:16" s="143" customFormat="1" ht="15" customHeight="1" x14ac:dyDescent="0.25">
      <c r="A22" s="177" t="s">
        <v>211</v>
      </c>
      <c r="B22" s="162">
        <v>0</v>
      </c>
      <c r="C22" s="153">
        <v>0</v>
      </c>
      <c r="D22" s="153">
        <v>0</v>
      </c>
      <c r="E22" s="153">
        <v>-3954</v>
      </c>
      <c r="F22" s="155">
        <v>0</v>
      </c>
      <c r="G22" s="153">
        <f>B22+D22+C22+E22+F22</f>
        <v>-3954</v>
      </c>
      <c r="H22" s="153">
        <v>0</v>
      </c>
      <c r="I22" s="162">
        <f t="shared" si="4"/>
        <v>-3954</v>
      </c>
    </row>
    <row r="23" spans="1:16" s="143" customFormat="1" ht="15" customHeight="1" x14ac:dyDescent="0.25">
      <c r="A23" s="173" t="s">
        <v>212</v>
      </c>
      <c r="B23" s="149">
        <f t="shared" ref="B23:I23" si="6">B18+B19+B20+B21+B22</f>
        <v>0</v>
      </c>
      <c r="C23" s="150">
        <f t="shared" si="6"/>
        <v>0</v>
      </c>
      <c r="D23" s="150">
        <f t="shared" si="6"/>
        <v>480</v>
      </c>
      <c r="E23" s="150">
        <f t="shared" si="6"/>
        <v>7799</v>
      </c>
      <c r="F23" s="152">
        <f t="shared" si="6"/>
        <v>604</v>
      </c>
      <c r="G23" s="150">
        <f t="shared" si="6"/>
        <v>8883</v>
      </c>
      <c r="H23" s="152">
        <f t="shared" si="6"/>
        <v>33338</v>
      </c>
      <c r="I23" s="150">
        <f t="shared" si="6"/>
        <v>42221</v>
      </c>
    </row>
    <row r="24" spans="1:16" s="143" customFormat="1" ht="15" customHeight="1" x14ac:dyDescent="0.25">
      <c r="A24" s="89" t="s">
        <v>216</v>
      </c>
      <c r="B24" s="149">
        <f t="shared" ref="B24:I24" si="7">B15+B23</f>
        <v>3707</v>
      </c>
      <c r="C24" s="150">
        <f t="shared" si="7"/>
        <v>38412</v>
      </c>
      <c r="D24" s="150">
        <f t="shared" si="7"/>
        <v>737</v>
      </c>
      <c r="E24" s="150">
        <f t="shared" si="7"/>
        <v>98490</v>
      </c>
      <c r="F24" s="152">
        <f t="shared" si="7"/>
        <v>537</v>
      </c>
      <c r="G24" s="150">
        <f t="shared" si="7"/>
        <v>141883</v>
      </c>
      <c r="H24" s="152">
        <f t="shared" si="7"/>
        <v>115794</v>
      </c>
      <c r="I24" s="150">
        <f t="shared" si="7"/>
        <v>257677</v>
      </c>
      <c r="J24" s="168"/>
      <c r="K24" s="168"/>
      <c r="M24" s="168"/>
      <c r="N24" s="168"/>
      <c r="O24" s="168"/>
      <c r="P24" s="178"/>
    </row>
    <row r="25" spans="1:16" ht="17.25" customHeight="1" x14ac:dyDescent="0.35">
      <c r="N25" s="179"/>
    </row>
    <row r="26" spans="1:16" ht="30" customHeight="1" x14ac:dyDescent="0.35"/>
    <row r="27" spans="1:16" ht="16.5" customHeight="1" x14ac:dyDescent="0.35"/>
    <row r="33" spans="1:1" ht="19.5" x14ac:dyDescent="0.4">
      <c r="A33" s="180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0" fitToHeight="0" orientation="portrait" r:id="rId1"/>
  <headerFooter>
    <oddHeader>&amp;L&amp;"Montserrat,Standardowy"&amp;7&amp;K000000Roczne skonsolidowane sprawozdanie finansowe Grupy Ailleron SA za okres od 1 stycznia 2022 r. do 31 grudnia 2022 r.
(wszystkie kwoty podano w tys. PLN, o ile nie wskazano inaczej)</oddHead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28038-AE68-4975-9ECE-7A5A39A6855D}">
  <sheetPr>
    <tabColor rgb="FF00B0F0"/>
    <pageSetUpPr fitToPage="1"/>
  </sheetPr>
  <dimension ref="A1:H66"/>
  <sheetViews>
    <sheetView showGridLines="0" view="pageBreakPreview" zoomScale="110" zoomScaleNormal="100" zoomScaleSheetLayoutView="110" workbookViewId="0">
      <selection activeCell="A66" sqref="A66:XFD66"/>
    </sheetView>
  </sheetViews>
  <sheetFormatPr defaultColWidth="8.85546875" defaultRowHeight="15" x14ac:dyDescent="0.25"/>
  <cols>
    <col min="1" max="1" width="56.42578125" style="7" customWidth="1"/>
    <col min="2" max="2" width="9.7109375" style="65" customWidth="1"/>
    <col min="3" max="3" width="14.5703125" style="7" customWidth="1"/>
    <col min="4" max="4" width="15.5703125" style="7" customWidth="1"/>
    <col min="5" max="5" width="21.85546875" style="7" bestFit="1" customWidth="1"/>
    <col min="6" max="16384" width="8.85546875" style="7"/>
  </cols>
  <sheetData>
    <row r="1" spans="1:7" s="2" customFormat="1" ht="30.6" customHeight="1" x14ac:dyDescent="0.25">
      <c r="A1" s="370" t="s">
        <v>217</v>
      </c>
      <c r="B1" s="370"/>
      <c r="C1" s="370"/>
      <c r="D1" s="370"/>
      <c r="E1" s="1"/>
    </row>
    <row r="2" spans="1:7" s="5" customFormat="1" ht="25.35" customHeight="1" x14ac:dyDescent="0.35">
      <c r="A2" s="371" t="s">
        <v>1</v>
      </c>
      <c r="B2" s="371"/>
      <c r="C2" s="371"/>
      <c r="D2" s="371"/>
      <c r="E2" s="4"/>
    </row>
    <row r="3" spans="1:7" s="5" customFormat="1" ht="36" customHeight="1" x14ac:dyDescent="0.35">
      <c r="A3" s="372" t="s">
        <v>2</v>
      </c>
      <c r="B3" s="372"/>
      <c r="C3" s="372"/>
      <c r="D3" s="372"/>
      <c r="E3" s="6"/>
    </row>
    <row r="4" spans="1:7" s="67" customFormat="1" ht="36" customHeight="1" x14ac:dyDescent="0.2">
      <c r="A4" s="374" t="s">
        <v>218</v>
      </c>
      <c r="B4" s="374"/>
      <c r="C4" s="374"/>
      <c r="D4" s="374"/>
    </row>
    <row r="5" spans="1:7" x14ac:dyDescent="0.25">
      <c r="A5" s="365" t="s">
        <v>4</v>
      </c>
      <c r="B5" s="367" t="s">
        <v>5</v>
      </c>
      <c r="C5" s="369" t="s">
        <v>6</v>
      </c>
      <c r="D5" s="369"/>
    </row>
    <row r="6" spans="1:7" ht="27.6" customHeight="1" x14ac:dyDescent="0.25">
      <c r="A6" s="366"/>
      <c r="B6" s="368"/>
      <c r="C6" s="8" t="s">
        <v>219</v>
      </c>
      <c r="D6" s="8" t="s">
        <v>220</v>
      </c>
    </row>
    <row r="7" spans="1:7" ht="18" x14ac:dyDescent="0.25">
      <c r="A7" s="9"/>
      <c r="B7" s="10"/>
      <c r="C7" s="11"/>
      <c r="D7" s="11"/>
    </row>
    <row r="8" spans="1:7" s="183" customFormat="1" ht="15" customHeight="1" x14ac:dyDescent="0.25">
      <c r="A8" s="12" t="s">
        <v>9</v>
      </c>
      <c r="B8" s="13"/>
      <c r="C8" s="181">
        <f>SUM(C9:C14)</f>
        <v>76126</v>
      </c>
      <c r="D8" s="181">
        <f>SUM(D9:D14)</f>
        <v>65559</v>
      </c>
      <c r="E8" s="182"/>
    </row>
    <row r="9" spans="1:7" s="183" customFormat="1" ht="15" customHeight="1" x14ac:dyDescent="0.25">
      <c r="A9" s="15" t="s">
        <v>10</v>
      </c>
      <c r="B9" s="18">
        <v>15</v>
      </c>
      <c r="C9" s="184">
        <f>11748</f>
        <v>11748</v>
      </c>
      <c r="D9" s="184">
        <v>13232</v>
      </c>
      <c r="E9" s="182"/>
      <c r="F9" s="185"/>
      <c r="G9" s="186"/>
    </row>
    <row r="10" spans="1:7" s="183" customFormat="1" ht="15" customHeight="1" x14ac:dyDescent="0.25">
      <c r="A10" s="15" t="s">
        <v>13</v>
      </c>
      <c r="B10" s="18">
        <v>16</v>
      </c>
      <c r="C10" s="184">
        <v>25236</v>
      </c>
      <c r="D10" s="184">
        <v>13851</v>
      </c>
      <c r="E10" s="182"/>
      <c r="F10" s="185"/>
    </row>
    <row r="11" spans="1:7" s="183" customFormat="1" ht="15" customHeight="1" x14ac:dyDescent="0.25">
      <c r="A11" s="15" t="s">
        <v>14</v>
      </c>
      <c r="B11" s="18">
        <v>18</v>
      </c>
      <c r="C11" s="184">
        <v>31205</v>
      </c>
      <c r="D11" s="184">
        <v>31205</v>
      </c>
      <c r="E11" s="182"/>
      <c r="F11" s="185"/>
    </row>
    <row r="12" spans="1:7" s="183" customFormat="1" ht="15" hidden="1" customHeight="1" x14ac:dyDescent="0.25">
      <c r="A12" s="15" t="s">
        <v>15</v>
      </c>
      <c r="B12" s="18">
        <v>10</v>
      </c>
      <c r="C12" s="184"/>
      <c r="D12" s="184">
        <v>0</v>
      </c>
      <c r="E12" s="182"/>
      <c r="F12" s="185"/>
    </row>
    <row r="13" spans="1:7" s="183" customFormat="1" ht="15" customHeight="1" x14ac:dyDescent="0.25">
      <c r="A13" s="15" t="s">
        <v>221</v>
      </c>
      <c r="B13" s="18">
        <v>17</v>
      </c>
      <c r="C13" s="184">
        <f>7660</f>
        <v>7660</v>
      </c>
      <c r="D13" s="184">
        <v>7001</v>
      </c>
      <c r="E13" s="182"/>
      <c r="F13" s="185"/>
    </row>
    <row r="14" spans="1:7" s="183" customFormat="1" ht="15" customHeight="1" x14ac:dyDescent="0.25">
      <c r="A14" s="15" t="s">
        <v>17</v>
      </c>
      <c r="B14" s="26">
        <v>20</v>
      </c>
      <c r="C14" s="184">
        <v>277</v>
      </c>
      <c r="D14" s="184">
        <v>270</v>
      </c>
      <c r="E14" s="182"/>
      <c r="F14" s="185"/>
    </row>
    <row r="15" spans="1:7" s="183" customFormat="1" ht="15" customHeight="1" x14ac:dyDescent="0.25">
      <c r="A15" s="12" t="s">
        <v>19</v>
      </c>
      <c r="B15" s="13"/>
      <c r="C15" s="187">
        <f>SUM(C16:C24)</f>
        <v>39892</v>
      </c>
      <c r="D15" s="187">
        <f>SUM(D16:D24)</f>
        <v>58124</v>
      </c>
      <c r="E15" s="182"/>
      <c r="F15" s="185"/>
    </row>
    <row r="16" spans="1:7" s="183" customFormat="1" ht="15" customHeight="1" x14ac:dyDescent="0.25">
      <c r="A16" s="15" t="s">
        <v>20</v>
      </c>
      <c r="B16" s="26">
        <v>21</v>
      </c>
      <c r="C16" s="184">
        <v>59</v>
      </c>
      <c r="D16" s="184">
        <v>229</v>
      </c>
      <c r="E16" s="182"/>
      <c r="F16" s="185"/>
    </row>
    <row r="17" spans="1:8" s="183" customFormat="1" ht="15" customHeight="1" x14ac:dyDescent="0.25">
      <c r="A17" s="15" t="s">
        <v>222</v>
      </c>
      <c r="B17" s="18">
        <v>22</v>
      </c>
      <c r="C17" s="184">
        <v>11633</v>
      </c>
      <c r="D17" s="184">
        <v>13936</v>
      </c>
      <c r="E17" s="397"/>
      <c r="F17" s="397"/>
      <c r="G17" s="397"/>
      <c r="H17" s="397"/>
    </row>
    <row r="18" spans="1:8" s="183" customFormat="1" ht="15" customHeight="1" x14ac:dyDescent="0.25">
      <c r="A18" s="15" t="s">
        <v>22</v>
      </c>
      <c r="B18" s="18"/>
      <c r="C18" s="184">
        <v>1526</v>
      </c>
      <c r="D18" s="184">
        <v>887</v>
      </c>
      <c r="E18" s="397"/>
      <c r="F18" s="397"/>
      <c r="G18" s="397"/>
      <c r="H18" s="397"/>
    </row>
    <row r="19" spans="1:8" s="183" customFormat="1" ht="15" customHeight="1" x14ac:dyDescent="0.25">
      <c r="A19" s="15" t="s">
        <v>221</v>
      </c>
      <c r="B19" s="18">
        <v>17</v>
      </c>
      <c r="C19" s="184">
        <v>2908</v>
      </c>
      <c r="D19" s="184">
        <v>1865</v>
      </c>
      <c r="E19" s="397"/>
      <c r="F19" s="397"/>
      <c r="G19" s="397"/>
      <c r="H19" s="397"/>
    </row>
    <row r="20" spans="1:8" s="183" customFormat="1" ht="15" customHeight="1" x14ac:dyDescent="0.25">
      <c r="A20" s="15" t="s">
        <v>23</v>
      </c>
      <c r="B20" s="18">
        <v>6.23</v>
      </c>
      <c r="C20" s="184">
        <v>4227</v>
      </c>
      <c r="D20" s="184">
        <v>3822</v>
      </c>
      <c r="E20" s="182"/>
      <c r="F20" s="185"/>
    </row>
    <row r="21" spans="1:8" s="183" customFormat="1" ht="15" customHeight="1" x14ac:dyDescent="0.25">
      <c r="A21" s="15" t="s">
        <v>16</v>
      </c>
      <c r="B21" s="26">
        <v>19</v>
      </c>
      <c r="C21" s="184">
        <v>1705</v>
      </c>
      <c r="D21" s="184">
        <v>1396</v>
      </c>
      <c r="E21" s="182"/>
      <c r="F21" s="185"/>
      <c r="H21" s="185"/>
    </row>
    <row r="22" spans="1:8" s="183" customFormat="1" ht="15" customHeight="1" x14ac:dyDescent="0.25">
      <c r="A22" s="15" t="s">
        <v>223</v>
      </c>
      <c r="B22" s="26"/>
      <c r="C22" s="188">
        <v>0</v>
      </c>
      <c r="D22" s="184">
        <v>731</v>
      </c>
      <c r="E22" s="182"/>
      <c r="F22" s="185"/>
      <c r="H22" s="185"/>
    </row>
    <row r="23" spans="1:8" s="183" customFormat="1" ht="15" customHeight="1" x14ac:dyDescent="0.25">
      <c r="A23" s="15" t="s">
        <v>26</v>
      </c>
      <c r="B23" s="26">
        <v>10</v>
      </c>
      <c r="C23" s="184">
        <v>943</v>
      </c>
      <c r="D23" s="189">
        <v>703</v>
      </c>
      <c r="E23" s="182"/>
      <c r="F23" s="190"/>
    </row>
    <row r="24" spans="1:8" s="183" customFormat="1" ht="15" customHeight="1" x14ac:dyDescent="0.25">
      <c r="A24" s="15" t="s">
        <v>28</v>
      </c>
      <c r="B24" s="26">
        <v>36</v>
      </c>
      <c r="C24" s="191">
        <v>16891</v>
      </c>
      <c r="D24" s="192">
        <v>34555</v>
      </c>
      <c r="E24" s="182"/>
      <c r="F24" s="185"/>
    </row>
    <row r="25" spans="1:8" s="183" customFormat="1" ht="15" hidden="1" customHeight="1" x14ac:dyDescent="0.25">
      <c r="A25" s="193" t="s">
        <v>224</v>
      </c>
      <c r="B25" s="194">
        <v>12</v>
      </c>
      <c r="C25" s="195"/>
      <c r="D25" s="196"/>
      <c r="E25" s="182"/>
      <c r="F25" s="185"/>
    </row>
    <row r="26" spans="1:8" s="183" customFormat="1" ht="15" customHeight="1" x14ac:dyDescent="0.25">
      <c r="A26" s="30" t="s">
        <v>30</v>
      </c>
      <c r="B26" s="31"/>
      <c r="C26" s="197">
        <f>C8+C15</f>
        <v>116018</v>
      </c>
      <c r="D26" s="197">
        <f>D8+D15+D25</f>
        <v>123683</v>
      </c>
      <c r="E26" s="182"/>
      <c r="F26" s="185"/>
    </row>
    <row r="27" spans="1:8" ht="15" customHeight="1" x14ac:dyDescent="0.25">
      <c r="A27" s="398"/>
      <c r="B27" s="198"/>
      <c r="C27" s="399"/>
      <c r="D27" s="399"/>
      <c r="E27" s="199"/>
      <c r="F27" s="82"/>
    </row>
    <row r="28" spans="1:8" x14ac:dyDescent="0.25">
      <c r="A28" s="398"/>
      <c r="B28" s="198"/>
      <c r="C28" s="399"/>
      <c r="D28" s="399"/>
      <c r="E28" s="82"/>
      <c r="F28" s="82"/>
    </row>
    <row r="29" spans="1:8" ht="36" customHeight="1" x14ac:dyDescent="0.25">
      <c r="A29" s="392" t="s">
        <v>225</v>
      </c>
      <c r="B29" s="392"/>
      <c r="C29" s="392"/>
      <c r="D29" s="392"/>
      <c r="E29" s="82"/>
      <c r="F29" s="82"/>
    </row>
    <row r="30" spans="1:8" x14ac:dyDescent="0.25">
      <c r="A30" s="365" t="s">
        <v>32</v>
      </c>
      <c r="B30" s="367" t="s">
        <v>5</v>
      </c>
      <c r="C30" s="396" t="s">
        <v>6</v>
      </c>
      <c r="D30" s="396"/>
      <c r="E30" s="82"/>
      <c r="F30" s="82"/>
    </row>
    <row r="31" spans="1:8" ht="30" x14ac:dyDescent="0.25">
      <c r="A31" s="366"/>
      <c r="B31" s="368"/>
      <c r="C31" s="8" t="str">
        <f>C6</f>
        <v>Stan na 31/12/2022</v>
      </c>
      <c r="D31" s="8" t="str">
        <f>D6</f>
        <v>Stan na 31/12/2021</v>
      </c>
      <c r="E31" s="82"/>
      <c r="F31" s="82"/>
    </row>
    <row r="32" spans="1:8" s="183" customFormat="1" x14ac:dyDescent="0.25">
      <c r="A32" s="200" t="s">
        <v>33</v>
      </c>
      <c r="B32" s="201"/>
      <c r="C32" s="187">
        <f>SUM(C33:C36)</f>
        <v>75163</v>
      </c>
      <c r="D32" s="187">
        <f>SUM(D33:D36)</f>
        <v>85558</v>
      </c>
      <c r="E32" s="185"/>
      <c r="F32" s="185"/>
      <c r="H32" s="202"/>
    </row>
    <row r="33" spans="1:8" s="183" customFormat="1" x14ac:dyDescent="0.25">
      <c r="A33" s="53" t="s">
        <v>35</v>
      </c>
      <c r="B33" s="54">
        <v>24</v>
      </c>
      <c r="C33" s="203">
        <v>3707</v>
      </c>
      <c r="D33" s="184">
        <v>3707</v>
      </c>
      <c r="E33" s="185"/>
      <c r="F33" s="185"/>
    </row>
    <row r="34" spans="1:8" s="183" customFormat="1" x14ac:dyDescent="0.25">
      <c r="A34" s="53" t="s">
        <v>37</v>
      </c>
      <c r="B34" s="54"/>
      <c r="C34" s="203">
        <v>737</v>
      </c>
      <c r="D34" s="184">
        <v>257</v>
      </c>
      <c r="E34" s="185"/>
      <c r="F34" s="185"/>
    </row>
    <row r="35" spans="1:8" s="183" customFormat="1" x14ac:dyDescent="0.25">
      <c r="A35" s="53" t="s">
        <v>36</v>
      </c>
      <c r="B35" s="54">
        <v>24</v>
      </c>
      <c r="C35" s="203">
        <v>38412</v>
      </c>
      <c r="D35" s="184">
        <v>38412</v>
      </c>
      <c r="E35" s="185"/>
      <c r="F35" s="185"/>
    </row>
    <row r="36" spans="1:8" s="183" customFormat="1" x14ac:dyDescent="0.25">
      <c r="A36" s="53" t="s">
        <v>38</v>
      </c>
      <c r="B36" s="54">
        <v>25</v>
      </c>
      <c r="C36" s="203">
        <v>32307</v>
      </c>
      <c r="D36" s="184">
        <v>43182</v>
      </c>
      <c r="E36" s="185"/>
      <c r="F36" s="185"/>
    </row>
    <row r="37" spans="1:8" s="183" customFormat="1" x14ac:dyDescent="0.25">
      <c r="A37" s="200" t="s">
        <v>43</v>
      </c>
      <c r="B37" s="201"/>
      <c r="C37" s="187">
        <f>C38+C43</f>
        <v>40855</v>
      </c>
      <c r="D37" s="181">
        <f>D38+D43+D52</f>
        <v>38125</v>
      </c>
      <c r="E37" s="204"/>
      <c r="F37" s="185"/>
    </row>
    <row r="38" spans="1:8" s="183" customFormat="1" x14ac:dyDescent="0.25">
      <c r="A38" s="205" t="s">
        <v>44</v>
      </c>
      <c r="B38" s="206"/>
      <c r="C38" s="207">
        <f>SUM(C39:C42)</f>
        <v>16625</v>
      </c>
      <c r="D38" s="207">
        <f>SUM(D39:D42)</f>
        <v>18155</v>
      </c>
      <c r="E38" s="185"/>
      <c r="F38" s="185"/>
    </row>
    <row r="39" spans="1:8" s="183" customFormat="1" x14ac:dyDescent="0.25">
      <c r="A39" s="53" t="s">
        <v>46</v>
      </c>
      <c r="B39" s="58" t="s">
        <v>226</v>
      </c>
      <c r="C39" s="184">
        <v>16013</v>
      </c>
      <c r="D39" s="184">
        <v>16973</v>
      </c>
      <c r="E39" s="185"/>
      <c r="F39" s="185"/>
    </row>
    <row r="40" spans="1:8" s="183" customFormat="1" x14ac:dyDescent="0.25">
      <c r="A40" s="53" t="s">
        <v>50</v>
      </c>
      <c r="B40" s="54">
        <v>28</v>
      </c>
      <c r="C40" s="184">
        <v>124</v>
      </c>
      <c r="D40" s="184">
        <v>90</v>
      </c>
      <c r="E40" s="208"/>
      <c r="F40" s="185"/>
      <c r="H40" s="186"/>
    </row>
    <row r="41" spans="1:8" s="183" customFormat="1" x14ac:dyDescent="0.25">
      <c r="A41" s="53" t="s">
        <v>51</v>
      </c>
      <c r="B41" s="54"/>
      <c r="C41" s="188">
        <v>0</v>
      </c>
      <c r="D41" s="209">
        <v>21</v>
      </c>
      <c r="E41" s="182"/>
      <c r="F41" s="185"/>
    </row>
    <row r="42" spans="1:8" s="183" customFormat="1" x14ac:dyDescent="0.25">
      <c r="A42" s="53" t="s">
        <v>53</v>
      </c>
      <c r="B42" s="54">
        <v>10</v>
      </c>
      <c r="C42" s="184">
        <v>488</v>
      </c>
      <c r="D42" s="184">
        <v>1071</v>
      </c>
      <c r="E42" s="185"/>
      <c r="F42" s="185"/>
    </row>
    <row r="43" spans="1:8" s="183" customFormat="1" x14ac:dyDescent="0.25">
      <c r="A43" s="56" t="s">
        <v>56</v>
      </c>
      <c r="B43" s="57"/>
      <c r="C43" s="181">
        <f>SUM(C44:C51)</f>
        <v>24230</v>
      </c>
      <c r="D43" s="181">
        <f>SUM(D44:D51)</f>
        <v>19970</v>
      </c>
      <c r="E43" s="185"/>
      <c r="F43" s="185"/>
    </row>
    <row r="44" spans="1:8" s="183" customFormat="1" ht="17.45" customHeight="1" x14ac:dyDescent="0.25">
      <c r="A44" s="53" t="s">
        <v>57</v>
      </c>
      <c r="B44" s="54">
        <v>30</v>
      </c>
      <c r="C44" s="184">
        <v>10557</v>
      </c>
      <c r="D44" s="184">
        <v>8381</v>
      </c>
      <c r="E44" s="182"/>
      <c r="F44" s="185"/>
    </row>
    <row r="45" spans="1:8" s="183" customFormat="1" x14ac:dyDescent="0.25">
      <c r="A45" s="53" t="s">
        <v>59</v>
      </c>
      <c r="B45" s="54">
        <v>26</v>
      </c>
      <c r="C45" s="184">
        <v>52</v>
      </c>
      <c r="D45" s="184">
        <v>56</v>
      </c>
      <c r="E45" s="182"/>
      <c r="F45" s="185"/>
    </row>
    <row r="46" spans="1:8" s="183" customFormat="1" x14ac:dyDescent="0.25">
      <c r="A46" s="53" t="s">
        <v>61</v>
      </c>
      <c r="B46" s="54">
        <v>27</v>
      </c>
      <c r="C46" s="184">
        <v>6668</v>
      </c>
      <c r="D46" s="184">
        <v>4485</v>
      </c>
      <c r="E46" s="182"/>
      <c r="F46" s="185"/>
    </row>
    <row r="47" spans="1:8" s="183" customFormat="1" x14ac:dyDescent="0.25">
      <c r="A47" s="53" t="s">
        <v>63</v>
      </c>
      <c r="B47" s="54">
        <v>10</v>
      </c>
      <c r="C47" s="184">
        <v>3</v>
      </c>
      <c r="D47" s="188">
        <v>0</v>
      </c>
      <c r="E47" s="182"/>
      <c r="F47" s="185"/>
      <c r="G47" s="182"/>
      <c r="H47" s="186"/>
    </row>
    <row r="48" spans="1:8" s="183" customFormat="1" x14ac:dyDescent="0.25">
      <c r="A48" s="53" t="s">
        <v>64</v>
      </c>
      <c r="B48" s="54">
        <v>10</v>
      </c>
      <c r="C48" s="184">
        <v>1781</v>
      </c>
      <c r="D48" s="184">
        <v>2057</v>
      </c>
      <c r="E48" s="182"/>
      <c r="F48" s="185"/>
    </row>
    <row r="49" spans="1:6" s="183" customFormat="1" ht="16.5" customHeight="1" x14ac:dyDescent="0.25">
      <c r="A49" s="53" t="s">
        <v>65</v>
      </c>
      <c r="B49" s="54">
        <v>28</v>
      </c>
      <c r="C49" s="184">
        <v>1352</v>
      </c>
      <c r="D49" s="184">
        <v>1231</v>
      </c>
      <c r="E49" s="182"/>
      <c r="F49" s="185"/>
    </row>
    <row r="50" spans="1:6" s="183" customFormat="1" ht="16.5" customHeight="1" x14ac:dyDescent="0.25">
      <c r="A50" s="53" t="s">
        <v>55</v>
      </c>
      <c r="B50" s="54">
        <v>32</v>
      </c>
      <c r="C50" s="184">
        <v>322</v>
      </c>
      <c r="D50" s="184">
        <v>644</v>
      </c>
      <c r="E50" s="182"/>
      <c r="F50" s="185"/>
    </row>
    <row r="51" spans="1:6" s="183" customFormat="1" ht="16.5" customHeight="1" x14ac:dyDescent="0.25">
      <c r="A51" s="59" t="s">
        <v>67</v>
      </c>
      <c r="B51" s="54">
        <v>29</v>
      </c>
      <c r="C51" s="210">
        <v>3495</v>
      </c>
      <c r="D51" s="207">
        <v>3116</v>
      </c>
      <c r="E51" s="182"/>
      <c r="F51" s="185"/>
    </row>
    <row r="52" spans="1:6" s="183" customFormat="1" ht="27" hidden="1" x14ac:dyDescent="0.25">
      <c r="A52" s="211" t="s">
        <v>227</v>
      </c>
      <c r="B52" s="201">
        <v>12</v>
      </c>
      <c r="C52" s="188"/>
      <c r="D52" s="184"/>
      <c r="E52" s="182"/>
      <c r="F52" s="185"/>
    </row>
    <row r="53" spans="1:6" s="183" customFormat="1" x14ac:dyDescent="0.25">
      <c r="A53" s="30" t="s">
        <v>69</v>
      </c>
      <c r="B53" s="31"/>
      <c r="C53" s="212">
        <f>C32+C37</f>
        <v>116018</v>
      </c>
      <c r="D53" s="197">
        <f>D32+D37</f>
        <v>123683</v>
      </c>
      <c r="E53" s="182"/>
      <c r="F53" s="185"/>
    </row>
    <row r="54" spans="1:6" x14ac:dyDescent="0.25">
      <c r="E54" s="199"/>
    </row>
    <row r="55" spans="1:6" x14ac:dyDescent="0.25">
      <c r="E55" s="199"/>
    </row>
    <row r="56" spans="1:6" x14ac:dyDescent="0.25">
      <c r="E56" s="199"/>
    </row>
    <row r="57" spans="1:6" x14ac:dyDescent="0.25">
      <c r="E57" s="199"/>
    </row>
    <row r="64" spans="1:6" ht="16.5" x14ac:dyDescent="0.35">
      <c r="A64" s="106"/>
    </row>
    <row r="66" spans="2:3" x14ac:dyDescent="0.25">
      <c r="B66" s="213"/>
      <c r="C66" s="213"/>
    </row>
  </sheetData>
  <mergeCells count="17">
    <mergeCell ref="A1:D1"/>
    <mergeCell ref="A2:D2"/>
    <mergeCell ref="A3:D3"/>
    <mergeCell ref="A4:D4"/>
    <mergeCell ref="A5:A6"/>
    <mergeCell ref="B5:B6"/>
    <mergeCell ref="C5:D5"/>
    <mergeCell ref="A29:D29"/>
    <mergeCell ref="A30:A31"/>
    <mergeCell ref="B30:B31"/>
    <mergeCell ref="C30:D30"/>
    <mergeCell ref="E17:H17"/>
    <mergeCell ref="E18:H18"/>
    <mergeCell ref="E19:H19"/>
    <mergeCell ref="A27:A28"/>
    <mergeCell ref="C27:C28"/>
    <mergeCell ref="D27:D28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&amp;L&amp;"Montserrat,Regular"&amp;7Roczne jednostkowe sprawozdanie finansowe Ailleron SA za okres od 1 stycznia 2022 r. do 31 grudnia 2022 r. 
(wszystkie kwoty podano w tys.PLN, o ile nie wskazano inaczej)</oddHeader>
    <oddFooter>&amp;C&amp;P</oddFooter>
  </headerFooter>
  <rowBreaks count="1" manualBreakCount="1">
    <brk id="27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6075E-D793-4C83-90C7-900BDA039BA5}">
  <sheetPr>
    <tabColor rgb="FF00B0F0"/>
    <pageSetUpPr fitToPage="1"/>
  </sheetPr>
  <dimension ref="A1:L76"/>
  <sheetViews>
    <sheetView showGridLines="0" view="pageBreakPreview" topLeftCell="A42" zoomScale="140" zoomScaleNormal="100" zoomScaleSheetLayoutView="140" workbookViewId="0">
      <selection activeCell="J48" sqref="J48"/>
    </sheetView>
  </sheetViews>
  <sheetFormatPr defaultColWidth="8.85546875" defaultRowHeight="15" x14ac:dyDescent="0.25"/>
  <cols>
    <col min="1" max="1" width="57" style="7" customWidth="1"/>
    <col min="2" max="2" width="10.5703125" style="7" customWidth="1"/>
    <col min="3" max="4" width="13.42578125" style="7" customWidth="1"/>
    <col min="5" max="16384" width="8.85546875" style="7"/>
  </cols>
  <sheetData>
    <row r="1" spans="1:11" ht="36" customHeight="1" x14ac:dyDescent="0.25">
      <c r="A1" s="374" t="s">
        <v>228</v>
      </c>
      <c r="B1" s="374"/>
      <c r="C1" s="374"/>
      <c r="D1" s="374"/>
    </row>
    <row r="2" spans="1:11" ht="17.25" customHeight="1" x14ac:dyDescent="0.25">
      <c r="A2" s="379" t="s">
        <v>229</v>
      </c>
      <c r="B2" s="381" t="s">
        <v>5</v>
      </c>
      <c r="C2" s="383" t="s">
        <v>72</v>
      </c>
      <c r="D2" s="383"/>
    </row>
    <row r="3" spans="1:11" ht="39.75" customHeight="1" x14ac:dyDescent="0.25">
      <c r="A3" s="380"/>
      <c r="B3" s="382"/>
      <c r="C3" s="68" t="s">
        <v>230</v>
      </c>
      <c r="D3" s="214" t="s">
        <v>231</v>
      </c>
    </row>
    <row r="4" spans="1:11" x14ac:dyDescent="0.25">
      <c r="A4" s="215" t="s">
        <v>75</v>
      </c>
      <c r="B4" s="216"/>
      <c r="C4" s="217"/>
      <c r="D4" s="218"/>
    </row>
    <row r="5" spans="1:11" s="183" customFormat="1" x14ac:dyDescent="0.25">
      <c r="A5" s="219" t="s">
        <v>76</v>
      </c>
      <c r="B5" s="220" t="s">
        <v>77</v>
      </c>
      <c r="C5" s="221">
        <f>71254-3359</f>
        <v>67895</v>
      </c>
      <c r="D5" s="221">
        <f>64537-4384</f>
        <v>60153</v>
      </c>
    </row>
    <row r="6" spans="1:11" s="183" customFormat="1" hidden="1" x14ac:dyDescent="0.25">
      <c r="A6" s="76" t="s">
        <v>79</v>
      </c>
      <c r="B6" s="76"/>
      <c r="C6" s="222"/>
      <c r="D6" s="223"/>
    </row>
    <row r="7" spans="1:11" s="183" customFormat="1" hidden="1" x14ac:dyDescent="0.25">
      <c r="A7" s="76" t="s">
        <v>80</v>
      </c>
      <c r="B7" s="76"/>
      <c r="C7" s="222"/>
      <c r="D7" s="223"/>
    </row>
    <row r="8" spans="1:11" s="183" customFormat="1" x14ac:dyDescent="0.25">
      <c r="A8" s="79" t="s">
        <v>81</v>
      </c>
      <c r="B8" s="224"/>
      <c r="C8" s="225">
        <f>53065-5742-17</f>
        <v>47306</v>
      </c>
      <c r="D8" s="225">
        <f>45461-4324</f>
        <v>41137</v>
      </c>
      <c r="F8" s="185"/>
      <c r="K8" s="226"/>
    </row>
    <row r="9" spans="1:11" s="183" customFormat="1" hidden="1" x14ac:dyDescent="0.25">
      <c r="A9" s="76" t="s">
        <v>83</v>
      </c>
      <c r="B9" s="76"/>
      <c r="C9" s="222"/>
      <c r="D9" s="222"/>
    </row>
    <row r="10" spans="1:11" s="183" customFormat="1" hidden="1" x14ac:dyDescent="0.25">
      <c r="A10" s="76" t="s">
        <v>84</v>
      </c>
      <c r="B10" s="76"/>
      <c r="C10" s="222"/>
      <c r="D10" s="222"/>
      <c r="F10" s="185"/>
    </row>
    <row r="11" spans="1:11" s="183" customFormat="1" x14ac:dyDescent="0.25">
      <c r="A11" s="73" t="s">
        <v>85</v>
      </c>
      <c r="B11" s="227"/>
      <c r="C11" s="228">
        <f>C5-C8</f>
        <v>20589</v>
      </c>
      <c r="D11" s="228">
        <f>D5-D8</f>
        <v>19016</v>
      </c>
    </row>
    <row r="12" spans="1:11" s="183" customFormat="1" x14ac:dyDescent="0.25">
      <c r="A12" s="76" t="s">
        <v>86</v>
      </c>
      <c r="B12" s="229"/>
      <c r="C12" s="222">
        <v>11001</v>
      </c>
      <c r="D12" s="222">
        <v>10668</v>
      </c>
      <c r="F12" s="230"/>
      <c r="J12" s="185"/>
    </row>
    <row r="13" spans="1:11" s="183" customFormat="1" x14ac:dyDescent="0.25">
      <c r="A13" s="76" t="s">
        <v>87</v>
      </c>
      <c r="B13" s="76"/>
      <c r="C13" s="222">
        <v>12793</v>
      </c>
      <c r="D13" s="222">
        <v>13288</v>
      </c>
      <c r="F13" s="231"/>
      <c r="J13" s="185"/>
    </row>
    <row r="14" spans="1:11" s="183" customFormat="1" x14ac:dyDescent="0.25">
      <c r="A14" s="76" t="s">
        <v>88</v>
      </c>
      <c r="B14" s="84">
        <v>9</v>
      </c>
      <c r="C14" s="223">
        <v>815</v>
      </c>
      <c r="D14" s="222">
        <v>1729</v>
      </c>
    </row>
    <row r="15" spans="1:11" s="183" customFormat="1" x14ac:dyDescent="0.25">
      <c r="A15" s="76" t="s">
        <v>89</v>
      </c>
      <c r="B15" s="84">
        <v>9</v>
      </c>
      <c r="C15" s="222">
        <v>2436</v>
      </c>
      <c r="D15" s="232">
        <v>137</v>
      </c>
    </row>
    <row r="16" spans="1:11" s="183" customFormat="1" x14ac:dyDescent="0.25">
      <c r="A16" s="73" t="s">
        <v>90</v>
      </c>
      <c r="B16" s="74"/>
      <c r="C16" s="228">
        <f>C11-C12-C13+C14-C15</f>
        <v>-4826</v>
      </c>
      <c r="D16" s="228">
        <f>D11-D12-D13+D14-D15</f>
        <v>-3348</v>
      </c>
      <c r="H16" s="233"/>
      <c r="I16" s="233"/>
      <c r="J16" s="233"/>
      <c r="K16" s="233"/>
    </row>
    <row r="17" spans="1:12" s="183" customFormat="1" x14ac:dyDescent="0.25">
      <c r="A17" s="76" t="s">
        <v>91</v>
      </c>
      <c r="B17" s="84">
        <v>7</v>
      </c>
      <c r="C17" s="223">
        <v>1060</v>
      </c>
      <c r="D17" s="222">
        <v>32771</v>
      </c>
      <c r="E17" s="185"/>
      <c r="H17" s="233"/>
      <c r="I17" s="414"/>
      <c r="J17" s="414"/>
      <c r="K17" s="233"/>
      <c r="L17" s="185"/>
    </row>
    <row r="18" spans="1:12" s="183" customFormat="1" x14ac:dyDescent="0.25">
      <c r="A18" s="76" t="s">
        <v>92</v>
      </c>
      <c r="B18" s="84">
        <v>8</v>
      </c>
      <c r="C18" s="223">
        <v>1266</v>
      </c>
      <c r="D18" s="223">
        <v>1589</v>
      </c>
      <c r="H18" s="233"/>
      <c r="I18" s="233"/>
      <c r="J18" s="233"/>
      <c r="K18" s="233"/>
    </row>
    <row r="19" spans="1:12" s="183" customFormat="1" x14ac:dyDescent="0.25">
      <c r="A19" s="79" t="s">
        <v>95</v>
      </c>
      <c r="B19" s="234"/>
      <c r="C19" s="235">
        <f>C16+C17-C18</f>
        <v>-5032</v>
      </c>
      <c r="D19" s="235">
        <f>D16+D17-D18</f>
        <v>27834</v>
      </c>
      <c r="F19" s="185"/>
      <c r="H19" s="233"/>
      <c r="I19" s="233"/>
      <c r="J19" s="233"/>
      <c r="K19" s="233"/>
    </row>
    <row r="20" spans="1:12" s="183" customFormat="1" x14ac:dyDescent="0.25">
      <c r="A20" s="236"/>
      <c r="B20" s="237"/>
      <c r="C20" s="238"/>
      <c r="D20" s="239"/>
      <c r="G20" s="240"/>
      <c r="H20" s="230"/>
      <c r="I20" s="233"/>
      <c r="J20" s="233"/>
      <c r="K20" s="233"/>
    </row>
    <row r="21" spans="1:12" s="183" customFormat="1" x14ac:dyDescent="0.25">
      <c r="A21" s="79" t="s">
        <v>96</v>
      </c>
      <c r="B21" s="87">
        <v>10</v>
      </c>
      <c r="C21" s="225">
        <f>-510+453+3</f>
        <v>-54</v>
      </c>
      <c r="D21" s="225">
        <f>4757-11</f>
        <v>4746</v>
      </c>
      <c r="H21" s="233"/>
      <c r="I21" s="233"/>
      <c r="J21" s="233"/>
      <c r="K21" s="233"/>
    </row>
    <row r="22" spans="1:12" s="183" customFormat="1" hidden="1" x14ac:dyDescent="0.25">
      <c r="A22" s="76" t="s">
        <v>97</v>
      </c>
      <c r="B22" s="76"/>
      <c r="C22" s="222"/>
      <c r="D22" s="223"/>
      <c r="H22" s="233"/>
      <c r="I22" s="233"/>
      <c r="J22" s="233"/>
      <c r="K22" s="233"/>
    </row>
    <row r="23" spans="1:12" s="183" customFormat="1" hidden="1" x14ac:dyDescent="0.25">
      <c r="A23" s="76" t="s">
        <v>98</v>
      </c>
      <c r="B23" s="76"/>
      <c r="C23" s="222"/>
      <c r="D23" s="222"/>
      <c r="H23" s="233"/>
      <c r="I23" s="233"/>
      <c r="J23" s="233"/>
      <c r="K23" s="233"/>
    </row>
    <row r="24" spans="1:12" s="183" customFormat="1" x14ac:dyDescent="0.25">
      <c r="A24" s="236" t="s">
        <v>99</v>
      </c>
      <c r="B24" s="237"/>
      <c r="C24" s="235">
        <f>C19-C21</f>
        <v>-4978</v>
      </c>
      <c r="D24" s="228">
        <f>D19-D21</f>
        <v>23088</v>
      </c>
      <c r="H24" s="233"/>
      <c r="I24" s="233"/>
      <c r="J24" s="233"/>
      <c r="K24" s="233"/>
    </row>
    <row r="25" spans="1:12" s="183" customFormat="1" x14ac:dyDescent="0.25">
      <c r="A25" s="241" t="s">
        <v>100</v>
      </c>
      <c r="B25" s="88">
        <v>11</v>
      </c>
      <c r="C25" s="136"/>
      <c r="D25" s="235"/>
      <c r="H25" s="233"/>
      <c r="I25" s="233"/>
      <c r="J25" s="233"/>
      <c r="K25" s="233"/>
    </row>
    <row r="26" spans="1:12" s="183" customFormat="1" x14ac:dyDescent="0.25">
      <c r="A26" s="242" t="s">
        <v>101</v>
      </c>
      <c r="B26" s="88"/>
      <c r="C26" s="243">
        <v>3359</v>
      </c>
      <c r="D26" s="244">
        <f>12095+4384</f>
        <v>16479</v>
      </c>
      <c r="F26" s="230"/>
      <c r="H26" s="233"/>
      <c r="I26" s="233"/>
      <c r="J26" s="233"/>
      <c r="K26" s="233"/>
    </row>
    <row r="27" spans="1:12" s="183" customFormat="1" x14ac:dyDescent="0.25">
      <c r="A27" s="242" t="s">
        <v>102</v>
      </c>
      <c r="B27" s="88"/>
      <c r="C27" s="245">
        <f>5742+17</f>
        <v>5759</v>
      </c>
      <c r="D27" s="244">
        <f>10651+4324</f>
        <v>14975</v>
      </c>
      <c r="F27" s="230"/>
      <c r="H27" s="233"/>
      <c r="I27" s="233"/>
      <c r="J27" s="233"/>
      <c r="K27" s="233"/>
    </row>
    <row r="28" spans="1:12" s="183" customFormat="1" x14ac:dyDescent="0.25">
      <c r="A28" s="242" t="s">
        <v>103</v>
      </c>
      <c r="B28" s="88"/>
      <c r="C28" s="243">
        <f>C26-C27</f>
        <v>-2400</v>
      </c>
      <c r="D28" s="246">
        <f>D26-D27</f>
        <v>1504</v>
      </c>
      <c r="F28" s="230"/>
    </row>
    <row r="29" spans="1:12" s="183" customFormat="1" x14ac:dyDescent="0.25">
      <c r="A29" s="247" t="s">
        <v>96</v>
      </c>
      <c r="B29" s="88"/>
      <c r="C29" s="248">
        <f>C28*0.19</f>
        <v>-456</v>
      </c>
      <c r="D29" s="249">
        <f>'[51]10-14 '!I44+'[51]10-14 '!H44</f>
        <v>285.39999999999998</v>
      </c>
      <c r="F29" s="230"/>
    </row>
    <row r="30" spans="1:12" s="183" customFormat="1" x14ac:dyDescent="0.25">
      <c r="A30" s="76" t="s">
        <v>104</v>
      </c>
      <c r="B30" s="88">
        <v>11</v>
      </c>
      <c r="C30" s="250">
        <f>C28-C29</f>
        <v>-1944</v>
      </c>
      <c r="D30" s="251">
        <f>D28-D29</f>
        <v>1218.5999999999999</v>
      </c>
      <c r="F30" s="230"/>
    </row>
    <row r="31" spans="1:12" s="183" customFormat="1" x14ac:dyDescent="0.25">
      <c r="A31" s="252" t="s">
        <v>232</v>
      </c>
      <c r="B31" s="30"/>
      <c r="C31" s="253">
        <f>C24+C30</f>
        <v>-6922</v>
      </c>
      <c r="D31" s="254">
        <f>D24+D30</f>
        <v>24306.6</v>
      </c>
      <c r="F31" s="230"/>
      <c r="H31" s="185"/>
    </row>
    <row r="32" spans="1:12" x14ac:dyDescent="0.25">
      <c r="A32" s="255"/>
      <c r="B32" s="256"/>
      <c r="C32" s="257"/>
      <c r="D32" s="258"/>
    </row>
    <row r="33" spans="1:4" x14ac:dyDescent="0.25">
      <c r="A33" s="94"/>
      <c r="B33" s="94"/>
      <c r="C33" s="232"/>
      <c r="D33" s="232"/>
    </row>
    <row r="34" spans="1:4" s="183" customFormat="1" ht="36" customHeight="1" x14ac:dyDescent="0.25">
      <c r="A34" s="415" t="s">
        <v>233</v>
      </c>
      <c r="B34" s="415"/>
      <c r="C34" s="415"/>
      <c r="D34" s="415"/>
    </row>
    <row r="35" spans="1:4" x14ac:dyDescent="0.25">
      <c r="A35" s="379" t="s">
        <v>229</v>
      </c>
      <c r="B35" s="367" t="s">
        <v>5</v>
      </c>
      <c r="C35" s="412" t="s">
        <v>6</v>
      </c>
      <c r="D35" s="412"/>
    </row>
    <row r="36" spans="1:4" ht="40.5" x14ac:dyDescent="0.25">
      <c r="A36" s="411"/>
      <c r="B36" s="368"/>
      <c r="C36" s="260" t="str">
        <f>C3</f>
        <v>Okres zakończony 31/12/2022</v>
      </c>
      <c r="D36" s="261" t="str">
        <f>D3</f>
        <v>Okres zakończony 31/12/2021</v>
      </c>
    </row>
    <row r="37" spans="1:4" s="183" customFormat="1" x14ac:dyDescent="0.25">
      <c r="A37" s="98" t="s">
        <v>234</v>
      </c>
      <c r="B37" s="224"/>
      <c r="C37" s="262">
        <f>C31</f>
        <v>-6922</v>
      </c>
      <c r="D37" s="263">
        <f>D31</f>
        <v>24306.6</v>
      </c>
    </row>
    <row r="38" spans="1:4" s="183" customFormat="1" x14ac:dyDescent="0.25">
      <c r="A38" s="76" t="s">
        <v>235</v>
      </c>
      <c r="B38" s="76"/>
      <c r="C38" s="264">
        <f>C31</f>
        <v>-6922</v>
      </c>
      <c r="D38" s="265">
        <f>D31</f>
        <v>24306.6</v>
      </c>
    </row>
    <row r="39" spans="1:4" s="183" customFormat="1" x14ac:dyDescent="0.25">
      <c r="A39" s="76" t="s">
        <v>111</v>
      </c>
      <c r="B39" s="84">
        <v>14</v>
      </c>
      <c r="C39" s="413"/>
      <c r="D39" s="413"/>
    </row>
    <row r="40" spans="1:4" s="183" customFormat="1" x14ac:dyDescent="0.25">
      <c r="A40" s="76" t="s">
        <v>112</v>
      </c>
      <c r="B40" s="76"/>
      <c r="C40" s="413"/>
      <c r="D40" s="413"/>
    </row>
    <row r="41" spans="1:4" s="183" customFormat="1" x14ac:dyDescent="0.25">
      <c r="A41" s="76" t="s">
        <v>113</v>
      </c>
      <c r="B41" s="76"/>
      <c r="C41" s="232"/>
      <c r="D41" s="232"/>
    </row>
    <row r="42" spans="1:4" s="183" customFormat="1" x14ac:dyDescent="0.25">
      <c r="A42" s="76" t="s">
        <v>114</v>
      </c>
      <c r="B42" s="76"/>
      <c r="C42" s="266">
        <f>C24/12355504*1000</f>
        <v>-0.40289736460770842</v>
      </c>
      <c r="D42" s="266">
        <f>D24/12355504*1000</f>
        <v>1.8686408907317744</v>
      </c>
    </row>
    <row r="43" spans="1:4" s="183" customFormat="1" x14ac:dyDescent="0.25">
      <c r="A43" s="76" t="s">
        <v>115</v>
      </c>
      <c r="B43" s="76"/>
      <c r="C43" s="267">
        <f>C42</f>
        <v>-0.40289736460770842</v>
      </c>
      <c r="D43" s="267">
        <f>D42</f>
        <v>1.8686408907317744</v>
      </c>
    </row>
    <row r="44" spans="1:4" s="183" customFormat="1" x14ac:dyDescent="0.25">
      <c r="A44" s="76" t="s">
        <v>236</v>
      </c>
      <c r="B44" s="76"/>
      <c r="C44" s="268"/>
      <c r="D44" s="268"/>
    </row>
    <row r="45" spans="1:4" s="183" customFormat="1" x14ac:dyDescent="0.25">
      <c r="A45" s="76" t="s">
        <v>114</v>
      </c>
      <c r="B45" s="76"/>
      <c r="C45" s="267">
        <f>C37/12355504*1000</f>
        <v>-0.56023615062566445</v>
      </c>
      <c r="D45" s="267">
        <f>D37/12355504*1000</f>
        <v>1.9672690001152522</v>
      </c>
    </row>
    <row r="46" spans="1:4" s="183" customFormat="1" ht="17.25" customHeight="1" x14ac:dyDescent="0.25">
      <c r="A46" s="98" t="s">
        <v>115</v>
      </c>
      <c r="B46" s="98"/>
      <c r="C46" s="269">
        <f>C45</f>
        <v>-0.56023615062566445</v>
      </c>
      <c r="D46" s="269">
        <f>D45</f>
        <v>1.9672690001152522</v>
      </c>
    </row>
    <row r="49" spans="1:12" x14ac:dyDescent="0.25">
      <c r="A49" s="270"/>
      <c r="B49" s="271"/>
    </row>
    <row r="50" spans="1:12" ht="34.5" hidden="1" customHeight="1" x14ac:dyDescent="0.25">
      <c r="A50" s="400" t="s">
        <v>237</v>
      </c>
      <c r="B50" s="400"/>
      <c r="C50" s="400"/>
      <c r="D50" s="400"/>
    </row>
    <row r="51" spans="1:12" ht="18" hidden="1" customHeight="1" x14ac:dyDescent="0.25">
      <c r="A51" s="272"/>
      <c r="B51" s="272"/>
      <c r="C51" s="404" t="s">
        <v>72</v>
      </c>
      <c r="D51" s="404"/>
    </row>
    <row r="52" spans="1:12" ht="47.45" hidden="1" customHeight="1" x14ac:dyDescent="0.25">
      <c r="A52" s="405" t="s">
        <v>238</v>
      </c>
      <c r="B52" s="406" t="s">
        <v>5</v>
      </c>
      <c r="C52" s="273" t="str">
        <f>C36</f>
        <v>Okres zakończony 31/12/2022</v>
      </c>
      <c r="D52" s="273" t="str">
        <f>D36</f>
        <v>Okres zakończony 31/12/2021</v>
      </c>
    </row>
    <row r="53" spans="1:12" ht="14.45" hidden="1" customHeight="1" x14ac:dyDescent="0.25">
      <c r="A53" s="405"/>
      <c r="B53" s="407"/>
      <c r="C53" s="274"/>
      <c r="D53" s="273"/>
    </row>
    <row r="54" spans="1:12" hidden="1" x14ac:dyDescent="0.25">
      <c r="A54" s="408" t="s">
        <v>106</v>
      </c>
      <c r="B54" s="408"/>
      <c r="C54" s="120"/>
      <c r="D54" s="275"/>
    </row>
    <row r="55" spans="1:12" ht="18" hidden="1" x14ac:dyDescent="0.25">
      <c r="A55" s="409" t="s">
        <v>119</v>
      </c>
      <c r="B55" s="409"/>
      <c r="C55" s="276"/>
      <c r="D55" s="277"/>
    </row>
    <row r="56" spans="1:12" ht="18" hidden="1" x14ac:dyDescent="0.25">
      <c r="A56" s="410" t="s">
        <v>41</v>
      </c>
      <c r="B56" s="410"/>
      <c r="C56" s="278"/>
      <c r="D56" s="279"/>
      <c r="I56" s="400"/>
      <c r="J56" s="400"/>
      <c r="K56" s="400"/>
      <c r="L56" s="400"/>
    </row>
    <row r="57" spans="1:12" hidden="1" x14ac:dyDescent="0.25">
      <c r="A57" s="401" t="s">
        <v>120</v>
      </c>
      <c r="B57" s="401"/>
      <c r="C57" s="279"/>
      <c r="D57" s="279"/>
    </row>
    <row r="58" spans="1:12" hidden="1" x14ac:dyDescent="0.25">
      <c r="A58" s="401" t="s">
        <v>121</v>
      </c>
      <c r="B58" s="401"/>
      <c r="C58" s="279"/>
      <c r="D58" s="279"/>
    </row>
    <row r="59" spans="1:12" hidden="1" x14ac:dyDescent="0.25">
      <c r="A59" s="402" t="s">
        <v>122</v>
      </c>
      <c r="B59" s="402"/>
      <c r="C59" s="279"/>
      <c r="D59" s="279"/>
    </row>
    <row r="60" spans="1:12" hidden="1" x14ac:dyDescent="0.25">
      <c r="A60" s="403" t="s">
        <v>123</v>
      </c>
      <c r="B60" s="403"/>
      <c r="C60" s="278"/>
      <c r="D60" s="278"/>
    </row>
    <row r="61" spans="1:12" hidden="1" x14ac:dyDescent="0.25"/>
    <row r="70" spans="1:2" ht="16.5" x14ac:dyDescent="0.35">
      <c r="A70" s="106"/>
      <c r="B70" s="106"/>
    </row>
    <row r="74" spans="1:2" ht="16.5" x14ac:dyDescent="0.35">
      <c r="A74" s="107"/>
      <c r="B74" s="106"/>
    </row>
    <row r="76" spans="1:2" ht="16.5" x14ac:dyDescent="0.35">
      <c r="A76" s="106"/>
      <c r="B76" s="106"/>
    </row>
  </sheetData>
  <mergeCells count="23">
    <mergeCell ref="I17:J17"/>
    <mergeCell ref="A34:D34"/>
    <mergeCell ref="A50:D50"/>
    <mergeCell ref="A1:D1"/>
    <mergeCell ref="A2:A3"/>
    <mergeCell ref="B2:B3"/>
    <mergeCell ref="C2:D2"/>
    <mergeCell ref="A35:A36"/>
    <mergeCell ref="B35:B36"/>
    <mergeCell ref="C35:D35"/>
    <mergeCell ref="C39:C40"/>
    <mergeCell ref="D39:D40"/>
    <mergeCell ref="C51:D51"/>
    <mergeCell ref="A52:A53"/>
    <mergeCell ref="B52:B53"/>
    <mergeCell ref="A54:B54"/>
    <mergeCell ref="A55:B55"/>
    <mergeCell ref="I56:L56"/>
    <mergeCell ref="A57:B57"/>
    <mergeCell ref="A58:B58"/>
    <mergeCell ref="A59:B59"/>
    <mergeCell ref="A60:B60"/>
    <mergeCell ref="A56:B56"/>
  </mergeCells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Header>&amp;L&amp;"Montserrat,Regular"&amp;7Roczne jednostkowe sprawozdanie finansowe Ailleron SA za okres od 1 stycznia 2022 r. do 31 grudnia 2022 r. 
(wszystkie kwoty podano w tys.PLN, o ile nie wskazano inaczej)</oddHeader>
    <oddFooter>&amp;C&amp;P</oddFooter>
  </headerFooter>
  <rowBreaks count="1" manualBreakCount="1">
    <brk id="33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F0A9-CF2B-48BE-95B0-9A7710F567DD}">
  <sheetPr>
    <tabColor rgb="FF00B0F0"/>
    <pageSetUpPr fitToPage="1"/>
  </sheetPr>
  <dimension ref="A1:I21"/>
  <sheetViews>
    <sheetView showGridLines="0" view="pageBreakPreview" topLeftCell="A19" zoomScale="145" zoomScaleNormal="100" zoomScaleSheetLayoutView="145" workbookViewId="0">
      <selection activeCell="C30" sqref="C30:D30"/>
    </sheetView>
  </sheetViews>
  <sheetFormatPr defaultColWidth="9.140625" defaultRowHeight="15" x14ac:dyDescent="0.25"/>
  <cols>
    <col min="1" max="1" width="50.85546875" style="7" customWidth="1"/>
    <col min="2" max="2" width="7.85546875" style="7" customWidth="1"/>
    <col min="3" max="4" width="15.85546875" style="7" customWidth="1"/>
    <col min="5" max="16384" width="9.140625" style="7"/>
  </cols>
  <sheetData>
    <row r="1" spans="1:9" s="67" customFormat="1" ht="36" customHeight="1" x14ac:dyDescent="0.2">
      <c r="A1" s="388" t="s">
        <v>239</v>
      </c>
      <c r="B1" s="388"/>
      <c r="C1" s="388"/>
      <c r="D1" s="388"/>
    </row>
    <row r="2" spans="1:9" ht="17.25" customHeight="1" x14ac:dyDescent="0.25">
      <c r="A2" s="380" t="s">
        <v>240</v>
      </c>
      <c r="B2" s="417"/>
      <c r="C2" s="412" t="s">
        <v>6</v>
      </c>
      <c r="D2" s="419"/>
    </row>
    <row r="3" spans="1:9" ht="42.75" customHeight="1" x14ac:dyDescent="0.25">
      <c r="A3" s="416"/>
      <c r="B3" s="418"/>
      <c r="C3" s="280" t="s">
        <v>73</v>
      </c>
      <c r="D3" s="281" t="s">
        <v>74</v>
      </c>
    </row>
    <row r="4" spans="1:9" ht="14.45" customHeight="1" x14ac:dyDescent="0.25">
      <c r="A4" s="252" t="s">
        <v>106</v>
      </c>
      <c r="B4" s="282"/>
      <c r="C4" s="283">
        <f>RZIS_j!C37*1000</f>
        <v>-6922000</v>
      </c>
      <c r="D4" s="284">
        <f>RZIS_j!D37*1000</f>
        <v>24306600</v>
      </c>
    </row>
    <row r="5" spans="1:9" ht="14.45" customHeight="1" x14ac:dyDescent="0.25">
      <c r="A5" s="224" t="s">
        <v>119</v>
      </c>
      <c r="B5" s="76"/>
      <c r="C5" s="285">
        <v>0</v>
      </c>
      <c r="D5" s="286">
        <v>0</v>
      </c>
      <c r="H5" s="112"/>
      <c r="I5" s="112"/>
    </row>
    <row r="6" spans="1:9" ht="14.45" hidden="1" customHeight="1" x14ac:dyDescent="0.25">
      <c r="A6" s="236" t="s">
        <v>41</v>
      </c>
      <c r="B6" s="236"/>
      <c r="C6" s="287">
        <v>0</v>
      </c>
      <c r="D6" s="114">
        <v>0</v>
      </c>
    </row>
    <row r="7" spans="1:9" x14ac:dyDescent="0.25">
      <c r="A7" s="288" t="s">
        <v>120</v>
      </c>
      <c r="B7" s="289"/>
      <c r="C7" s="290">
        <f>C6</f>
        <v>0</v>
      </c>
      <c r="D7" s="290">
        <f>D6</f>
        <v>0</v>
      </c>
    </row>
    <row r="8" spans="1:9" ht="17.45" customHeight="1" x14ac:dyDescent="0.25">
      <c r="A8" s="252" t="s">
        <v>121</v>
      </c>
      <c r="B8" s="291"/>
      <c r="C8" s="292">
        <f>C4+C7</f>
        <v>-6922000</v>
      </c>
      <c r="D8" s="293">
        <f>D4+D7</f>
        <v>24306600</v>
      </c>
    </row>
    <row r="9" spans="1:9" x14ac:dyDescent="0.25">
      <c r="A9" s="259"/>
      <c r="B9" s="120"/>
      <c r="C9" s="259"/>
      <c r="D9" s="259"/>
    </row>
    <row r="15" spans="1:9" ht="16.5" x14ac:dyDescent="0.35">
      <c r="A15" s="106"/>
      <c r="B15" s="106"/>
    </row>
    <row r="19" spans="1:2" ht="16.5" x14ac:dyDescent="0.35">
      <c r="A19" s="107"/>
      <c r="B19" s="106"/>
    </row>
    <row r="21" spans="1:2" ht="16.5" x14ac:dyDescent="0.35">
      <c r="A21" s="107"/>
      <c r="B21" s="106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&amp;L&amp;"Montserrat,Regular"&amp;7Roczne jednostkowe sprawozdanie finansowe Ailleron SA za okres od 1 stycznia 2022 r. do 31 grudnia 2022 r. 
(wszystkie kwoty podano w tys.PLN,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7AE3-4555-4359-8196-608DDFA573C6}">
  <sheetPr>
    <tabColor rgb="FF00B0F0"/>
    <pageSetUpPr fitToPage="1"/>
  </sheetPr>
  <dimension ref="A1:F66"/>
  <sheetViews>
    <sheetView showGridLines="0" view="pageBreakPreview" zoomScale="145" zoomScaleNormal="100" zoomScaleSheetLayoutView="145" workbookViewId="0">
      <selection activeCell="D54" sqref="D1:E1048576"/>
    </sheetView>
  </sheetViews>
  <sheetFormatPr defaultColWidth="8.85546875" defaultRowHeight="15" x14ac:dyDescent="0.25"/>
  <cols>
    <col min="1" max="1" width="50.85546875" style="139" customWidth="1"/>
    <col min="2" max="2" width="14.42578125" style="7" customWidth="1"/>
    <col min="3" max="3" width="14.42578125" style="7" bestFit="1" customWidth="1"/>
    <col min="4" max="16384" width="8.85546875" style="7"/>
  </cols>
  <sheetData>
    <row r="1" spans="1:3" ht="54.95" customHeight="1" x14ac:dyDescent="0.25">
      <c r="A1" s="389" t="s">
        <v>241</v>
      </c>
      <c r="B1" s="389"/>
      <c r="C1" s="389"/>
    </row>
    <row r="2" spans="1:3" ht="18" customHeight="1" x14ac:dyDescent="0.25">
      <c r="A2" s="420"/>
      <c r="B2" s="422" t="s">
        <v>6</v>
      </c>
      <c r="C2" s="422"/>
    </row>
    <row r="3" spans="1:3" ht="41.25" customHeight="1" x14ac:dyDescent="0.25">
      <c r="A3" s="421"/>
      <c r="B3" s="294" t="s">
        <v>230</v>
      </c>
      <c r="C3" s="295" t="s">
        <v>231</v>
      </c>
    </row>
    <row r="4" spans="1:3" x14ac:dyDescent="0.25">
      <c r="A4" s="296" t="s">
        <v>126</v>
      </c>
      <c r="B4" s="297"/>
      <c r="C4" s="298"/>
    </row>
    <row r="5" spans="1:3" s="183" customFormat="1" x14ac:dyDescent="0.25">
      <c r="A5" s="299" t="s">
        <v>127</v>
      </c>
      <c r="B5" s="300">
        <f>RZIS_j!C31</f>
        <v>-6922</v>
      </c>
      <c r="C5" s="300">
        <f>RZIS_j!D31</f>
        <v>24306.6</v>
      </c>
    </row>
    <row r="6" spans="1:3" s="183" customFormat="1" x14ac:dyDescent="0.25">
      <c r="A6" s="301" t="s">
        <v>128</v>
      </c>
      <c r="B6" s="300">
        <f>SUM(B7:B26)</f>
        <v>12212</v>
      </c>
      <c r="C6" s="300">
        <f>SUM(C7:C26)</f>
        <v>-10167.599999999999</v>
      </c>
    </row>
    <row r="7" spans="1:3" s="183" customFormat="1" x14ac:dyDescent="0.25">
      <c r="A7" s="302" t="s">
        <v>129</v>
      </c>
      <c r="B7" s="265">
        <f>RZIS_j!C21+RZIS_j!C29</f>
        <v>-510</v>
      </c>
      <c r="C7" s="265">
        <f>RZIS_j!D21+RZIS_j!D29</f>
        <v>5031.3999999999996</v>
      </c>
    </row>
    <row r="8" spans="1:3" s="183" customFormat="1" x14ac:dyDescent="0.25">
      <c r="A8" s="129" t="s">
        <v>131</v>
      </c>
      <c r="B8" s="303">
        <v>678</v>
      </c>
      <c r="C8" s="303">
        <v>980</v>
      </c>
    </row>
    <row r="9" spans="1:3" s="183" customFormat="1" x14ac:dyDescent="0.25">
      <c r="A9" s="129" t="s">
        <v>132</v>
      </c>
      <c r="B9" s="303">
        <v>-355</v>
      </c>
      <c r="C9" s="222">
        <v>-32636</v>
      </c>
    </row>
    <row r="10" spans="1:3" s="183" customFormat="1" ht="24.6" customHeight="1" x14ac:dyDescent="0.25">
      <c r="A10" s="129" t="s">
        <v>133</v>
      </c>
      <c r="B10" s="303">
        <v>1638</v>
      </c>
      <c r="C10" s="303">
        <v>-351</v>
      </c>
    </row>
    <row r="11" spans="1:3" s="183" customFormat="1" ht="24.6" customHeight="1" x14ac:dyDescent="0.25">
      <c r="A11" s="129" t="s">
        <v>137</v>
      </c>
      <c r="B11" s="222">
        <v>517</v>
      </c>
      <c r="C11" s="222">
        <v>266</v>
      </c>
    </row>
    <row r="12" spans="1:3" s="183" customFormat="1" ht="29.1" customHeight="1" x14ac:dyDescent="0.25">
      <c r="A12" s="129" t="s">
        <v>140</v>
      </c>
      <c r="B12" s="222">
        <f>657-847</f>
        <v>-190</v>
      </c>
      <c r="C12" s="222">
        <f>502-747</f>
        <v>-245</v>
      </c>
    </row>
    <row r="13" spans="1:3" s="183" customFormat="1" x14ac:dyDescent="0.25">
      <c r="A13" s="129" t="s">
        <v>142</v>
      </c>
      <c r="B13" s="222">
        <v>5847</v>
      </c>
      <c r="C13" s="222">
        <v>6912</v>
      </c>
    </row>
    <row r="14" spans="1:3" s="183" customFormat="1" x14ac:dyDescent="0.25">
      <c r="A14" s="129" t="s">
        <v>144</v>
      </c>
      <c r="B14" s="222">
        <v>538</v>
      </c>
      <c r="C14" s="222">
        <v>532</v>
      </c>
    </row>
    <row r="15" spans="1:3" s="183" customFormat="1" hidden="1" x14ac:dyDescent="0.25">
      <c r="A15" s="304"/>
      <c r="B15" s="222"/>
      <c r="C15" s="222"/>
    </row>
    <row r="16" spans="1:3" s="183" customFormat="1" x14ac:dyDescent="0.25">
      <c r="A16" s="129" t="s">
        <v>242</v>
      </c>
      <c r="B16" s="222"/>
      <c r="C16" s="222"/>
    </row>
    <row r="17" spans="1:3" s="183" customFormat="1" ht="25.5" x14ac:dyDescent="0.25">
      <c r="A17" s="129" t="s">
        <v>147</v>
      </c>
      <c r="B17" s="222">
        <v>1614</v>
      </c>
      <c r="C17" s="222">
        <v>14079</v>
      </c>
    </row>
    <row r="18" spans="1:3" s="183" customFormat="1" hidden="1" x14ac:dyDescent="0.25">
      <c r="A18" s="129" t="s">
        <v>148</v>
      </c>
      <c r="B18" s="222">
        <v>0</v>
      </c>
      <c r="C18" s="222">
        <v>0</v>
      </c>
    </row>
    <row r="19" spans="1:3" s="183" customFormat="1" x14ac:dyDescent="0.25">
      <c r="A19" s="129" t="s">
        <v>149</v>
      </c>
      <c r="B19" s="222">
        <v>170</v>
      </c>
      <c r="C19" s="222">
        <v>1444</v>
      </c>
    </row>
    <row r="20" spans="1:3" s="183" customFormat="1" x14ac:dyDescent="0.25">
      <c r="A20" s="129" t="s">
        <v>150</v>
      </c>
      <c r="B20" s="222">
        <v>-423</v>
      </c>
      <c r="C20" s="222">
        <v>2423</v>
      </c>
    </row>
    <row r="21" spans="1:3" s="183" customFormat="1" ht="25.5" x14ac:dyDescent="0.25">
      <c r="A21" s="129" t="s">
        <v>151</v>
      </c>
      <c r="B21" s="222">
        <v>2016</v>
      </c>
      <c r="C21" s="222">
        <v>-6182</v>
      </c>
    </row>
    <row r="22" spans="1:3" s="183" customFormat="1" hidden="1" x14ac:dyDescent="0.25">
      <c r="A22" s="129" t="s">
        <v>152</v>
      </c>
      <c r="B22" s="222">
        <f>-907+907</f>
        <v>0</v>
      </c>
      <c r="C22" s="222">
        <v>0</v>
      </c>
    </row>
    <row r="23" spans="1:3" s="183" customFormat="1" x14ac:dyDescent="0.25">
      <c r="A23" s="129" t="s">
        <v>153</v>
      </c>
      <c r="B23" s="222">
        <f>615-481</f>
        <v>134</v>
      </c>
      <c r="C23" s="222">
        <v>317</v>
      </c>
    </row>
    <row r="24" spans="1:3" s="183" customFormat="1" x14ac:dyDescent="0.25">
      <c r="A24" s="129" t="s">
        <v>154</v>
      </c>
      <c r="B24" s="222">
        <v>-322</v>
      </c>
      <c r="C24" s="222">
        <v>-146</v>
      </c>
    </row>
    <row r="25" spans="1:3" s="183" customFormat="1" x14ac:dyDescent="0.25">
      <c r="A25" s="129" t="s">
        <v>155</v>
      </c>
      <c r="B25" s="222">
        <v>379</v>
      </c>
      <c r="C25" s="305">
        <v>-2592</v>
      </c>
    </row>
    <row r="26" spans="1:3" s="183" customFormat="1" x14ac:dyDescent="0.25">
      <c r="A26" s="306" t="s">
        <v>243</v>
      </c>
      <c r="B26" s="222">
        <v>481</v>
      </c>
      <c r="C26" s="243">
        <v>0</v>
      </c>
    </row>
    <row r="27" spans="1:3" s="183" customFormat="1" x14ac:dyDescent="0.25">
      <c r="A27" s="307" t="s">
        <v>156</v>
      </c>
      <c r="B27" s="221">
        <f>B5+B6</f>
        <v>5290</v>
      </c>
      <c r="C27" s="263">
        <f>C5+C6</f>
        <v>14139</v>
      </c>
    </row>
    <row r="28" spans="1:3" s="183" customFormat="1" x14ac:dyDescent="0.25">
      <c r="A28" s="302" t="s">
        <v>244</v>
      </c>
      <c r="B28" s="308">
        <v>-824</v>
      </c>
      <c r="C28" s="308">
        <v>-1512</v>
      </c>
    </row>
    <row r="29" spans="1:3" s="183" customFormat="1" x14ac:dyDescent="0.25">
      <c r="A29" s="129" t="s">
        <v>158</v>
      </c>
      <c r="B29" s="222">
        <v>731</v>
      </c>
      <c r="C29" s="222">
        <v>-5527</v>
      </c>
    </row>
    <row r="30" spans="1:3" s="183" customFormat="1" x14ac:dyDescent="0.25">
      <c r="A30" s="309" t="s">
        <v>159</v>
      </c>
      <c r="B30" s="310">
        <f>SUM(B27:B29)</f>
        <v>5197</v>
      </c>
      <c r="C30" s="228">
        <f>SUM(C27:C29)</f>
        <v>7100</v>
      </c>
    </row>
    <row r="31" spans="1:3" ht="54.95" customHeight="1" x14ac:dyDescent="0.25">
      <c r="A31" s="389" t="s">
        <v>245</v>
      </c>
      <c r="B31" s="389"/>
      <c r="C31" s="389"/>
    </row>
    <row r="32" spans="1:3" x14ac:dyDescent="0.25">
      <c r="A32" s="420"/>
      <c r="B32" s="423" t="s">
        <v>72</v>
      </c>
      <c r="C32" s="424"/>
    </row>
    <row r="33" spans="1:3" ht="45.75" customHeight="1" x14ac:dyDescent="0.25">
      <c r="A33" s="421"/>
      <c r="B33" s="281" t="str">
        <f>B3</f>
        <v>Okres zakończony 31/12/2022</v>
      </c>
      <c r="C33" s="260" t="str">
        <f>C3</f>
        <v>Okres zakończony 31/12/2021</v>
      </c>
    </row>
    <row r="34" spans="1:3" x14ac:dyDescent="0.25">
      <c r="A34" s="296"/>
      <c r="B34" s="311"/>
      <c r="C34" s="312"/>
    </row>
    <row r="35" spans="1:3" x14ac:dyDescent="0.25">
      <c r="A35" s="313" t="s">
        <v>161</v>
      </c>
      <c r="B35" s="314"/>
      <c r="C35" s="314"/>
    </row>
    <row r="36" spans="1:3" s="183" customFormat="1" x14ac:dyDescent="0.25">
      <c r="A36" s="129" t="s">
        <v>246</v>
      </c>
      <c r="B36" s="315">
        <v>0</v>
      </c>
      <c r="C36" s="315">
        <v>37422</v>
      </c>
    </row>
    <row r="37" spans="1:3" s="183" customFormat="1" x14ac:dyDescent="0.25">
      <c r="A37" s="129" t="s">
        <v>247</v>
      </c>
      <c r="B37" s="315">
        <v>2803</v>
      </c>
      <c r="C37" s="315">
        <v>0</v>
      </c>
    </row>
    <row r="38" spans="1:3" s="183" customFormat="1" x14ac:dyDescent="0.25">
      <c r="A38" s="129" t="s">
        <v>248</v>
      </c>
      <c r="B38" s="315">
        <v>355</v>
      </c>
      <c r="C38" s="315">
        <v>0</v>
      </c>
    </row>
    <row r="39" spans="1:3" s="183" customFormat="1" x14ac:dyDescent="0.25">
      <c r="A39" s="129" t="s">
        <v>167</v>
      </c>
      <c r="B39" s="222">
        <v>-825</v>
      </c>
      <c r="C39" s="222">
        <v>-527</v>
      </c>
    </row>
    <row r="40" spans="1:3" s="183" customFormat="1" x14ac:dyDescent="0.25">
      <c r="A40" s="129" t="s">
        <v>249</v>
      </c>
      <c r="B40" s="315">
        <v>10</v>
      </c>
      <c r="C40" s="315">
        <v>20</v>
      </c>
    </row>
    <row r="41" spans="1:3" s="183" customFormat="1" hidden="1" x14ac:dyDescent="0.25">
      <c r="A41" s="129" t="s">
        <v>171</v>
      </c>
      <c r="B41" s="315"/>
      <c r="C41" s="315"/>
    </row>
    <row r="42" spans="1:3" s="183" customFormat="1" x14ac:dyDescent="0.25">
      <c r="A42" s="129" t="s">
        <v>172</v>
      </c>
      <c r="B42" s="316">
        <v>-459</v>
      </c>
      <c r="C42" s="316">
        <v>-737</v>
      </c>
    </row>
    <row r="43" spans="1:3" s="183" customFormat="1" x14ac:dyDescent="0.25">
      <c r="A43" s="129" t="s">
        <v>250</v>
      </c>
      <c r="B43" s="316">
        <v>-15722</v>
      </c>
      <c r="C43" s="316">
        <v>-7658</v>
      </c>
    </row>
    <row r="44" spans="1:3" s="183" customFormat="1" x14ac:dyDescent="0.25">
      <c r="A44" s="129" t="s">
        <v>251</v>
      </c>
      <c r="B44" s="315">
        <v>0</v>
      </c>
      <c r="C44" s="223">
        <v>9150</v>
      </c>
    </row>
    <row r="45" spans="1:3" s="183" customFormat="1" ht="25.5" customHeight="1" x14ac:dyDescent="0.25">
      <c r="A45" s="129" t="s">
        <v>173</v>
      </c>
      <c r="B45" s="223">
        <v>106</v>
      </c>
      <c r="C45" s="223">
        <v>612</v>
      </c>
    </row>
    <row r="46" spans="1:3" s="183" customFormat="1" hidden="1" x14ac:dyDescent="0.25">
      <c r="A46" s="129" t="s">
        <v>252</v>
      </c>
      <c r="B46" s="315"/>
      <c r="C46" s="315"/>
    </row>
    <row r="47" spans="1:3" s="183" customFormat="1" ht="26.25" customHeight="1" x14ac:dyDescent="0.25">
      <c r="A47" s="317" t="s">
        <v>253</v>
      </c>
      <c r="B47" s="263">
        <f>SUM(B36:B46)</f>
        <v>-13732</v>
      </c>
      <c r="C47" s="228">
        <f>SUM(C36:C46)</f>
        <v>38282</v>
      </c>
    </row>
    <row r="48" spans="1:3" s="183" customFormat="1" x14ac:dyDescent="0.25">
      <c r="A48" s="296" t="s">
        <v>178</v>
      </c>
      <c r="B48" s="318"/>
      <c r="C48" s="319"/>
    </row>
    <row r="49" spans="1:6" s="183" customFormat="1" x14ac:dyDescent="0.25">
      <c r="A49" s="302" t="s">
        <v>170</v>
      </c>
      <c r="B49" s="308">
        <v>-3954</v>
      </c>
      <c r="C49" s="308">
        <v>-3954</v>
      </c>
    </row>
    <row r="50" spans="1:6" s="183" customFormat="1" x14ac:dyDescent="0.25">
      <c r="A50" s="129" t="s">
        <v>254</v>
      </c>
      <c r="B50" s="222">
        <v>-4</v>
      </c>
      <c r="C50" s="222">
        <v>-14906</v>
      </c>
    </row>
    <row r="51" spans="1:6" s="183" customFormat="1" x14ac:dyDescent="0.25">
      <c r="A51" s="129" t="s">
        <v>183</v>
      </c>
      <c r="B51" s="243">
        <v>0</v>
      </c>
      <c r="C51" s="222">
        <v>-12</v>
      </c>
    </row>
    <row r="52" spans="1:6" s="183" customFormat="1" ht="21.75" customHeight="1" x14ac:dyDescent="0.25">
      <c r="A52" s="129" t="s">
        <v>255</v>
      </c>
      <c r="B52" s="243">
        <v>0</v>
      </c>
      <c r="C52" s="222">
        <v>-212</v>
      </c>
    </row>
    <row r="53" spans="1:6" s="183" customFormat="1" hidden="1" x14ac:dyDescent="0.25">
      <c r="A53" s="129" t="s">
        <v>256</v>
      </c>
      <c r="B53" s="243"/>
      <c r="C53" s="243"/>
    </row>
    <row r="54" spans="1:6" s="183" customFormat="1" ht="24" customHeight="1" x14ac:dyDescent="0.25">
      <c r="A54" s="306" t="s">
        <v>190</v>
      </c>
      <c r="B54" s="223">
        <v>-5171</v>
      </c>
      <c r="C54" s="223">
        <v>-3419</v>
      </c>
    </row>
    <row r="55" spans="1:6" s="183" customFormat="1" ht="26.25" customHeight="1" x14ac:dyDescent="0.25">
      <c r="A55" s="320" t="s">
        <v>191</v>
      </c>
      <c r="B55" s="263">
        <f>SUM(B49:B54)</f>
        <v>-9129</v>
      </c>
      <c r="C55" s="263">
        <f>SUM(C49:C54)</f>
        <v>-22503</v>
      </c>
    </row>
    <row r="56" spans="1:6" s="183" customFormat="1" x14ac:dyDescent="0.25">
      <c r="A56" s="301" t="s">
        <v>192</v>
      </c>
      <c r="B56" s="265">
        <f>B30+B55+B47</f>
        <v>-17664</v>
      </c>
      <c r="C56" s="265">
        <f>C30+C55+C47</f>
        <v>22879</v>
      </c>
    </row>
    <row r="57" spans="1:6" s="183" customFormat="1" ht="28.5" customHeight="1" x14ac:dyDescent="0.25">
      <c r="A57" s="138" t="s">
        <v>193</v>
      </c>
      <c r="B57" s="222">
        <f>C59</f>
        <v>34555</v>
      </c>
      <c r="C57" s="223">
        <v>11676</v>
      </c>
    </row>
    <row r="58" spans="1:6" s="183" customFormat="1" hidden="1" x14ac:dyDescent="0.25">
      <c r="A58" s="138" t="s">
        <v>257</v>
      </c>
      <c r="B58" s="137"/>
      <c r="C58" s="321"/>
    </row>
    <row r="59" spans="1:6" s="183" customFormat="1" ht="33" customHeight="1" x14ac:dyDescent="0.25">
      <c r="A59" s="322" t="s">
        <v>197</v>
      </c>
      <c r="B59" s="323">
        <f>B56+B57+B58</f>
        <v>16891</v>
      </c>
      <c r="C59" s="324">
        <f>C56+C57</f>
        <v>34555</v>
      </c>
      <c r="D59" s="185"/>
      <c r="E59" s="185"/>
      <c r="F59" s="185"/>
    </row>
    <row r="60" spans="1:6" x14ac:dyDescent="0.25">
      <c r="A60" s="325"/>
      <c r="B60" s="259"/>
      <c r="C60" s="259"/>
    </row>
    <row r="63" spans="1:6" ht="23.25" customHeight="1" x14ac:dyDescent="0.25"/>
    <row r="64" spans="1:6" ht="23.25" customHeight="1" x14ac:dyDescent="0.25"/>
    <row r="65" spans="1:1" ht="12" customHeight="1" x14ac:dyDescent="0.25"/>
    <row r="66" spans="1:1" ht="30.75" customHeight="1" x14ac:dyDescent="0.3">
      <c r="A66" s="140"/>
    </row>
  </sheetData>
  <mergeCells count="6">
    <mergeCell ref="A1:C1"/>
    <mergeCell ref="A2:A3"/>
    <mergeCell ref="B2:C2"/>
    <mergeCell ref="A31:C31"/>
    <mergeCell ref="A32:A33"/>
    <mergeCell ref="B32:C3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&amp;L&amp;"Montserrat,Regular"&amp;7Roczne jednostkowe sprawozdanie finansowe Ailleron SA za okres od 1 stycznia 2022 r. do 31 grudnia 2022 r. 
(wszystkie kwoty podano w tys.PLN, o ile nie wskazano inaczej)</oddHeader>
    <oddFooter>&amp;C&amp;P</oddFooter>
  </headerFooter>
  <rowBreaks count="1" manualBreakCount="1">
    <brk id="30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4A53A-C6CF-4308-BDBB-BB6F99658BD3}">
  <sheetPr>
    <tabColor rgb="FF00B0F0"/>
    <pageSetUpPr fitToPage="1"/>
  </sheetPr>
  <dimension ref="A1:G27"/>
  <sheetViews>
    <sheetView showGridLines="0" view="pageBreakPreview" topLeftCell="A11" zoomScale="145" zoomScaleNormal="100" zoomScaleSheetLayoutView="145" workbookViewId="0">
      <selection activeCell="E29" sqref="E29"/>
    </sheetView>
  </sheetViews>
  <sheetFormatPr defaultColWidth="9.140625" defaultRowHeight="15" x14ac:dyDescent="0.25"/>
  <cols>
    <col min="1" max="1" width="43.42578125" style="7" bestFit="1" customWidth="1"/>
    <col min="2" max="2" width="11.42578125" style="7" customWidth="1"/>
    <col min="3" max="6" width="10.42578125" style="7" customWidth="1"/>
    <col min="7" max="16384" width="9.140625" style="7"/>
  </cols>
  <sheetData>
    <row r="1" spans="1:7" s="67" customFormat="1" ht="38.25" customHeight="1" x14ac:dyDescent="0.2">
      <c r="A1" s="392" t="s">
        <v>258</v>
      </c>
      <c r="B1" s="392"/>
      <c r="C1" s="392"/>
      <c r="D1" s="392"/>
      <c r="E1" s="392"/>
      <c r="F1" s="392"/>
    </row>
    <row r="2" spans="1:7" s="327" customFormat="1" ht="19.5" customHeight="1" x14ac:dyDescent="0.2">
      <c r="A2" s="326"/>
      <c r="B2" s="425" t="s">
        <v>6</v>
      </c>
      <c r="C2" s="424"/>
      <c r="D2" s="424"/>
      <c r="E2" s="424"/>
      <c r="F2" s="423"/>
    </row>
    <row r="3" spans="1:7" s="327" customFormat="1" ht="57.6" customHeight="1" x14ac:dyDescent="0.25">
      <c r="A3" s="328"/>
      <c r="B3" s="329" t="s">
        <v>199</v>
      </c>
      <c r="C3" s="330" t="s">
        <v>37</v>
      </c>
      <c r="D3" s="330" t="s">
        <v>36</v>
      </c>
      <c r="E3" s="331" t="s">
        <v>38</v>
      </c>
      <c r="F3" s="329" t="s">
        <v>203</v>
      </c>
    </row>
    <row r="4" spans="1:7" s="183" customFormat="1" ht="14.1" customHeight="1" x14ac:dyDescent="0.25">
      <c r="A4" s="157" t="s">
        <v>259</v>
      </c>
      <c r="B4" s="332">
        <v>3707</v>
      </c>
      <c r="C4" s="333">
        <v>0</v>
      </c>
      <c r="D4" s="333">
        <v>38412</v>
      </c>
      <c r="E4" s="333">
        <v>22828</v>
      </c>
      <c r="F4" s="334">
        <f>SUM(B4:E4)</f>
        <v>64947</v>
      </c>
    </row>
    <row r="5" spans="1:7" s="183" customFormat="1" ht="14.1" customHeight="1" x14ac:dyDescent="0.25">
      <c r="A5" s="335" t="s">
        <v>205</v>
      </c>
      <c r="B5" s="336">
        <v>0</v>
      </c>
      <c r="C5" s="336">
        <v>0</v>
      </c>
      <c r="D5" s="336">
        <v>0</v>
      </c>
      <c r="E5" s="336">
        <f>RZIS_j!D31</f>
        <v>24306.6</v>
      </c>
      <c r="F5" s="337">
        <f t="shared" ref="F5:F7" si="0">SUM(B5:E5)</f>
        <v>24306.6</v>
      </c>
    </row>
    <row r="6" spans="1:7" s="183" customFormat="1" ht="14.1" customHeight="1" x14ac:dyDescent="0.25">
      <c r="A6" s="338" t="s">
        <v>206</v>
      </c>
      <c r="B6" s="339">
        <v>0</v>
      </c>
      <c r="C6" s="336">
        <v>0</v>
      </c>
      <c r="D6" s="339">
        <v>0</v>
      </c>
      <c r="E6" s="339" t="s">
        <v>260</v>
      </c>
      <c r="F6" s="340">
        <f t="shared" si="0"/>
        <v>0</v>
      </c>
    </row>
    <row r="7" spans="1:7" s="183" customFormat="1" ht="14.1" customHeight="1" x14ac:dyDescent="0.25">
      <c r="A7" s="157" t="s">
        <v>207</v>
      </c>
      <c r="B7" s="341">
        <f>SUM(B5:B6)</f>
        <v>0</v>
      </c>
      <c r="C7" s="341">
        <f t="shared" ref="C7:E7" si="1">SUM(C5:C6)</f>
        <v>0</v>
      </c>
      <c r="D7" s="341">
        <f t="shared" si="1"/>
        <v>0</v>
      </c>
      <c r="E7" s="342">
        <f t="shared" si="1"/>
        <v>24306.6</v>
      </c>
      <c r="F7" s="334">
        <f t="shared" si="0"/>
        <v>24306.6</v>
      </c>
    </row>
    <row r="8" spans="1:7" s="183" customFormat="1" ht="14.1" customHeight="1" x14ac:dyDescent="0.25">
      <c r="A8" s="172" t="s">
        <v>210</v>
      </c>
      <c r="B8" s="334">
        <v>0</v>
      </c>
      <c r="C8" s="341">
        <v>257</v>
      </c>
      <c r="D8" s="341">
        <v>0</v>
      </c>
      <c r="E8" s="343">
        <v>0</v>
      </c>
      <c r="F8" s="334">
        <f>SUM(B8:E8)</f>
        <v>257</v>
      </c>
    </row>
    <row r="9" spans="1:7" s="183" customFormat="1" ht="14.1" customHeight="1" x14ac:dyDescent="0.25">
      <c r="A9" s="173" t="s">
        <v>211</v>
      </c>
      <c r="B9" s="340">
        <v>0</v>
      </c>
      <c r="C9" s="339">
        <v>0</v>
      </c>
      <c r="D9" s="339">
        <v>0</v>
      </c>
      <c r="E9" s="344">
        <v>-3953</v>
      </c>
      <c r="F9" s="345">
        <f>SUM(B9:E9)</f>
        <v>-3953</v>
      </c>
    </row>
    <row r="10" spans="1:7" s="183" customFormat="1" ht="14.1" customHeight="1" x14ac:dyDescent="0.25">
      <c r="A10" s="346" t="s">
        <v>212</v>
      </c>
      <c r="B10" s="340">
        <f>B7+B8+B9</f>
        <v>0</v>
      </c>
      <c r="C10" s="347">
        <f t="shared" ref="C10:E10" si="2">C7+C8+C9</f>
        <v>257</v>
      </c>
      <c r="D10" s="333">
        <f t="shared" si="2"/>
        <v>0</v>
      </c>
      <c r="E10" s="339">
        <f t="shared" si="2"/>
        <v>20353.599999999999</v>
      </c>
      <c r="F10" s="348">
        <f>SUM(B10:E10)</f>
        <v>20610.599999999999</v>
      </c>
    </row>
    <row r="11" spans="1:7" s="183" customFormat="1" ht="20.100000000000001" customHeight="1" x14ac:dyDescent="0.25">
      <c r="A11" s="289" t="s">
        <v>261</v>
      </c>
      <c r="B11" s="349">
        <f>B4+B10</f>
        <v>3707</v>
      </c>
      <c r="C11" s="350">
        <f t="shared" ref="C11:E11" si="3">C4+C10</f>
        <v>257</v>
      </c>
      <c r="D11" s="347">
        <f t="shared" si="3"/>
        <v>38412</v>
      </c>
      <c r="E11" s="351">
        <f t="shared" si="3"/>
        <v>43181.599999999999</v>
      </c>
      <c r="F11" s="352">
        <f>F4+F10</f>
        <v>85557.6</v>
      </c>
      <c r="G11" s="185"/>
    </row>
    <row r="12" spans="1:7" s="80" customFormat="1" ht="20.45" customHeight="1" x14ac:dyDescent="0.25">
      <c r="A12" s="426"/>
      <c r="B12" s="426"/>
      <c r="C12" s="426"/>
      <c r="D12" s="426"/>
      <c r="E12" s="426"/>
      <c r="F12" s="426"/>
    </row>
    <row r="13" spans="1:7" s="355" customFormat="1" ht="12" customHeight="1" x14ac:dyDescent="0.25">
      <c r="A13" s="338" t="s">
        <v>214</v>
      </c>
      <c r="B13" s="353">
        <f>B11</f>
        <v>3707</v>
      </c>
      <c r="C13" s="354">
        <f t="shared" ref="C13:E13" si="4">C11</f>
        <v>257</v>
      </c>
      <c r="D13" s="354">
        <f t="shared" si="4"/>
        <v>38412</v>
      </c>
      <c r="E13" s="339">
        <f t="shared" si="4"/>
        <v>43181.599999999999</v>
      </c>
      <c r="F13" s="340">
        <f t="shared" ref="F13:F19" si="5">SUM(B13:E13)</f>
        <v>85557.6</v>
      </c>
    </row>
    <row r="14" spans="1:7" s="355" customFormat="1" ht="23.45" customHeight="1" x14ac:dyDescent="0.25">
      <c r="A14" s="242" t="s">
        <v>205</v>
      </c>
      <c r="B14" s="356">
        <v>0</v>
      </c>
      <c r="C14" s="336">
        <v>0</v>
      </c>
      <c r="D14" s="336">
        <v>0</v>
      </c>
      <c r="E14" s="336">
        <f>RZIS_j!C31</f>
        <v>-6922</v>
      </c>
      <c r="F14" s="345">
        <f t="shared" si="5"/>
        <v>-6922</v>
      </c>
    </row>
    <row r="15" spans="1:7" s="183" customFormat="1" ht="15.6" customHeight="1" x14ac:dyDescent="0.25">
      <c r="A15" s="173" t="s">
        <v>206</v>
      </c>
      <c r="B15" s="340">
        <v>0</v>
      </c>
      <c r="C15" s="336">
        <v>0</v>
      </c>
      <c r="D15" s="339">
        <v>0</v>
      </c>
      <c r="E15" s="339">
        <v>0</v>
      </c>
      <c r="F15" s="345">
        <f t="shared" si="5"/>
        <v>0</v>
      </c>
    </row>
    <row r="16" spans="1:7" s="183" customFormat="1" ht="14.1" customHeight="1" x14ac:dyDescent="0.25">
      <c r="A16" s="357" t="s">
        <v>207</v>
      </c>
      <c r="B16" s="332">
        <f>SUM(B14:B15)</f>
        <v>0</v>
      </c>
      <c r="C16" s="354">
        <f t="shared" ref="C16:E16" si="6">SUM(C14:C15)</f>
        <v>0</v>
      </c>
      <c r="D16" s="347">
        <f t="shared" si="6"/>
        <v>0</v>
      </c>
      <c r="E16" s="333">
        <f t="shared" si="6"/>
        <v>-6922</v>
      </c>
      <c r="F16" s="353">
        <f t="shared" si="5"/>
        <v>-6922</v>
      </c>
    </row>
    <row r="17" spans="1:7" s="183" customFormat="1" ht="14.1" customHeight="1" x14ac:dyDescent="0.25">
      <c r="A17" s="335" t="s">
        <v>210</v>
      </c>
      <c r="B17" s="345">
        <v>0</v>
      </c>
      <c r="C17" s="336">
        <v>480</v>
      </c>
      <c r="D17" s="336">
        <v>0</v>
      </c>
      <c r="E17" s="358">
        <v>0</v>
      </c>
      <c r="F17" s="345">
        <f t="shared" si="5"/>
        <v>480</v>
      </c>
    </row>
    <row r="18" spans="1:7" s="183" customFormat="1" ht="14.1" customHeight="1" x14ac:dyDescent="0.25">
      <c r="A18" s="173" t="s">
        <v>211</v>
      </c>
      <c r="B18" s="345">
        <v>0</v>
      </c>
      <c r="C18" s="336">
        <v>0</v>
      </c>
      <c r="D18" s="359">
        <v>0</v>
      </c>
      <c r="E18" s="336">
        <v>-3953</v>
      </c>
      <c r="F18" s="345">
        <f t="shared" si="5"/>
        <v>-3953</v>
      </c>
    </row>
    <row r="19" spans="1:7" s="183" customFormat="1" ht="14.1" customHeight="1" x14ac:dyDescent="0.25">
      <c r="A19" s="357" t="s">
        <v>212</v>
      </c>
      <c r="B19" s="353">
        <f>SUM(B16:B18)</f>
        <v>0</v>
      </c>
      <c r="C19" s="350">
        <f t="shared" ref="C19:E19" si="7">SUM(C16:C18)</f>
        <v>480</v>
      </c>
      <c r="D19" s="360">
        <f t="shared" si="7"/>
        <v>0</v>
      </c>
      <c r="E19" s="361">
        <f t="shared" si="7"/>
        <v>-10875</v>
      </c>
      <c r="F19" s="352">
        <f t="shared" si="5"/>
        <v>-10395</v>
      </c>
    </row>
    <row r="20" spans="1:7" s="183" customFormat="1" ht="14.1" customHeight="1" x14ac:dyDescent="0.25">
      <c r="A20" s="362" t="s">
        <v>216</v>
      </c>
      <c r="B20" s="363">
        <f>B13+B19</f>
        <v>3707</v>
      </c>
      <c r="C20" s="350">
        <f t="shared" ref="C20:F20" si="8">C13+C19</f>
        <v>737</v>
      </c>
      <c r="D20" s="350">
        <f t="shared" si="8"/>
        <v>38412</v>
      </c>
      <c r="E20" s="364">
        <f t="shared" si="8"/>
        <v>32306.6</v>
      </c>
      <c r="F20" s="352">
        <f t="shared" si="8"/>
        <v>75162.600000000006</v>
      </c>
    </row>
    <row r="21" spans="1:7" ht="8.4499999999999993" customHeight="1" x14ac:dyDescent="0.25">
      <c r="A21" s="259"/>
      <c r="B21" s="259"/>
      <c r="E21" s="259"/>
      <c r="F21" s="259"/>
    </row>
    <row r="22" spans="1:7" ht="19.5" customHeight="1" x14ac:dyDescent="0.25">
      <c r="G22" s="82"/>
    </row>
    <row r="23" spans="1:7" ht="15.75" x14ac:dyDescent="0.3">
      <c r="A23" s="140"/>
    </row>
    <row r="24" spans="1:7" ht="30" customHeight="1" x14ac:dyDescent="0.25">
      <c r="G24" s="82"/>
    </row>
    <row r="25" spans="1:7" ht="15" customHeight="1" x14ac:dyDescent="0.3">
      <c r="A25" s="140"/>
    </row>
    <row r="26" spans="1:7" ht="13.5" customHeight="1" x14ac:dyDescent="0.25"/>
    <row r="27" spans="1:7" ht="29.45" customHeight="1" x14ac:dyDescent="0.25"/>
  </sheetData>
  <mergeCells count="3">
    <mergeCell ref="A1:F1"/>
    <mergeCell ref="B2:F2"/>
    <mergeCell ref="A12:F12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&amp;L&amp;"Montserrat,Regular"&amp;7Roczne jednostkowe sprawozdanie finansowe Ailleron SA za okres od 1 stycznia 2022 r. do 31 grudnia 2022 r. 
(wszystkie kwoty podano w tys.PLN,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4" ma:contentTypeDescription="Utwórz nowy dokument." ma:contentTypeScope="" ma:versionID="847b57933c46690d17fc3c0001019d01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78a58985dce9332106772cc92b12eef9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8CA9D9-3EE2-445F-89F2-926B9E348E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8F9A0-09A9-430D-9931-ED4360E6D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2023-07-06T10:54:14Z</dcterms:modified>
</cp:coreProperties>
</file>