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1_Y\"/>
    </mc:Choice>
  </mc:AlternateContent>
  <xr:revisionPtr revIDLastSave="0" documentId="13_ncr:1_{B46D0C30-6BDC-4A73-AC79-FCB4AB3AFBDC}" xr6:coauthVersionLast="47" xr6:coauthVersionMax="47" xr10:uidLastSave="{00000000-0000-0000-0000-000000000000}"/>
  <bookViews>
    <workbookView xWindow="-25320" yWindow="390" windowWidth="25440" windowHeight="15390" activeTab="10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Arkusz1" sheetId="1" r:id="rId6"/>
    <sheet name="Bilans_j" sheetId="7" r:id="rId7"/>
    <sheet name="RZIS_j" sheetId="8" r:id="rId8"/>
    <sheet name="SSCD_j" sheetId="9" r:id="rId9"/>
    <sheet name="CF_j" sheetId="10" r:id="rId10"/>
    <sheet name="ZZKW_j" sheetId="1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R1_Nieodlaczne" localSheetId="7">#REF!</definedName>
    <definedName name="_R1_Nieodlaczne" localSheetId="8">#REF!</definedName>
    <definedName name="_R1_Nieodlaczne">#REF!</definedName>
    <definedName name="_R2_Kontrolwewn" localSheetId="7">#REF!</definedName>
    <definedName name="_R2_Kontrolwewn" localSheetId="8">#REF!</definedName>
    <definedName name="_R2_Kontrolwewn">#REF!</definedName>
    <definedName name="_R3_Analityczne" localSheetId="7">#REF!</definedName>
    <definedName name="_R3_Analityczne" localSheetId="8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7">#REF!</definedName>
    <definedName name="aaa" localSheetId="8">#REF!</definedName>
    <definedName name="aaa">#REF!</definedName>
    <definedName name="adres">[3]WSTĘP!$IU$5</definedName>
    <definedName name="ala" localSheetId="8">[4]WSTĘP!$IU$9</definedName>
    <definedName name="ala">[4]WSTĘP!$IU$9</definedName>
    <definedName name="AS2DocOpenMode" hidden="1">"AS2DocumentEdit"</definedName>
    <definedName name="B.O.">[3]WSTĘP!$IU$13</definedName>
    <definedName name="B.Z.">[3]WSTĘP!$IU$9</definedName>
    <definedName name="bbb" localSheetId="7">#REF!</definedName>
    <definedName name="bbb" localSheetId="8">#REF!</definedName>
    <definedName name="bbb">#REF!</definedName>
    <definedName name="cfff">#REF!</definedName>
    <definedName name="COP" localSheetId="7">#REF!</definedName>
    <definedName name="COP" localSheetId="8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>[7]Wstęp!$CI$88</definedName>
    <definedName name="DB">[8]P1!$AX$126</definedName>
    <definedName name="FromaPrawna">[3]WSTĘP!$IU$3</definedName>
    <definedName name="kodmiejscowość">[3]WSTĘP!$IU$6</definedName>
    <definedName name="KonOkrSpraw">[7]Wstęp!$CI$73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[8]P1!$AX$123</definedName>
    <definedName name="LOK">[8]P1!$AX$124</definedName>
    <definedName name="LOKW">[8]P1!$AX$125</definedName>
    <definedName name="MiejsceData">[3]WSTĘP!$IU$78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7">#REF!</definedName>
    <definedName name="n" localSheetId="8">#REF!</definedName>
    <definedName name="n">#REF!</definedName>
    <definedName name="NazwaJednostki">[7]Wstęp!$Q$15</definedName>
    <definedName name="_xlnm.Print_Area" localSheetId="6">Bilans_j!$A$1:$D$65</definedName>
    <definedName name="_xlnm.Print_Area" localSheetId="0">Bilans_s!$A$1:$D$80</definedName>
    <definedName name="_xlnm.Print_Area" localSheetId="9">CF_j!$A$1:$C$67</definedName>
    <definedName name="_xlnm.Print_Area" localSheetId="3">CF_s!$A$1:$C$85</definedName>
    <definedName name="_xlnm.Print_Area" localSheetId="7">RZIS_j!$A$1:$D$76</definedName>
    <definedName name="_xlnm.Print_Area" localSheetId="1">RZIS_s!$A$1:$D$59</definedName>
    <definedName name="_xlnm.Print_Area" localSheetId="8">SSCD_j!$A$1:$D$21</definedName>
    <definedName name="_xlnm.Print_Area" localSheetId="2">SSCD_s!$A$1:$D$22</definedName>
    <definedName name="_xlnm.Print_Area" localSheetId="10">ZZKW_j!$A$1:$F$26</definedName>
    <definedName name="_xlnm.Print_Area" localSheetId="4">ZZKW_s!$A$1:$I$30</definedName>
    <definedName name="OdDo">[7]Wstęp!$CI$63</definedName>
    <definedName name="OdDoPoprz">[7]Wstęp!$CI$64</definedName>
    <definedName name="OK">[8]P1!$AX$127</definedName>
    <definedName name="okresbieżący">[3]WSTĘP!$IU$16</definedName>
    <definedName name="okrespoprzedni">[3]WSTĘP!$IU$18</definedName>
    <definedName name="ostatnia_komórka">#REF!</definedName>
    <definedName name="Pain">[8]P1!$AX$134</definedName>
    <definedName name="pierwsza_komórka">#REF!</definedName>
    <definedName name="PoprzedniB.Z.">[3]WSTĘP!$IU$15</definedName>
    <definedName name="PoziomZaokraglen">[7]Wstęp!$CI$117</definedName>
    <definedName name="RZISjednoKRSwzor">[7]Wstęp!$Q$15</definedName>
    <definedName name="SiedzibaMiasto">[7]Wstęp!$V$19</definedName>
    <definedName name="SkrotWaluty">[7]Wstęp!$CI$108</definedName>
    <definedName name="Tabela_1.1">[8]SF!$B$5:$AK$83</definedName>
    <definedName name="Tabela_1.2">[8]SF!$B$85:$AK$139</definedName>
    <definedName name="Tabela_2.1">[8]SF!$B$142:$AK$194</definedName>
    <definedName name="Tabela_2.2">[8]SF!$B$197:$AK$244</definedName>
    <definedName name="WalutaSpraw">[7]Wstęp!$CI$107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1" l="1"/>
  <c r="F14" i="11"/>
  <c r="D13" i="11"/>
  <c r="D16" i="11" s="1"/>
  <c r="C13" i="11"/>
  <c r="C16" i="11" s="1"/>
  <c r="C17" i="11" s="1"/>
  <c r="B13" i="11"/>
  <c r="B16" i="11" s="1"/>
  <c r="F12" i="11"/>
  <c r="D7" i="11"/>
  <c r="D8" i="11" s="1"/>
  <c r="D10" i="11" s="1"/>
  <c r="C7" i="11"/>
  <c r="C8" i="11" s="1"/>
  <c r="B7" i="11"/>
  <c r="B8" i="11" s="1"/>
  <c r="B10" i="11" s="1"/>
  <c r="F6" i="11"/>
  <c r="F4" i="11"/>
  <c r="C56" i="10"/>
  <c r="B51" i="10"/>
  <c r="B56" i="10" s="1"/>
  <c r="C48" i="10"/>
  <c r="B48" i="10"/>
  <c r="B44" i="10"/>
  <c r="B43" i="10"/>
  <c r="C36" i="10"/>
  <c r="B36" i="10"/>
  <c r="B32" i="10"/>
  <c r="B27" i="10"/>
  <c r="C26" i="10"/>
  <c r="B26" i="10"/>
  <c r="C25" i="10"/>
  <c r="B25" i="10"/>
  <c r="B24" i="10"/>
  <c r="C21" i="10"/>
  <c r="B21" i="10"/>
  <c r="B9" i="10"/>
  <c r="D7" i="9"/>
  <c r="C7" i="9"/>
  <c r="D38" i="8"/>
  <c r="D54" i="8" s="1"/>
  <c r="C38" i="8"/>
  <c r="C54" i="8" s="1"/>
  <c r="D31" i="8"/>
  <c r="D29" i="8"/>
  <c r="C29" i="8"/>
  <c r="C31" i="8" s="1"/>
  <c r="C24" i="8"/>
  <c r="D22" i="8"/>
  <c r="C22" i="8"/>
  <c r="B7" i="10" s="1"/>
  <c r="B6" i="10" s="1"/>
  <c r="D11" i="8"/>
  <c r="D10" i="8"/>
  <c r="D9" i="8" s="1"/>
  <c r="D12" i="8" s="1"/>
  <c r="D17" i="8" s="1"/>
  <c r="D20" i="8" s="1"/>
  <c r="D25" i="8" s="1"/>
  <c r="C9" i="8"/>
  <c r="D6" i="8"/>
  <c r="C6" i="8"/>
  <c r="C12" i="8" s="1"/>
  <c r="C17" i="8" s="1"/>
  <c r="C20" i="8" s="1"/>
  <c r="C25" i="8" s="1"/>
  <c r="C47" i="7"/>
  <c r="D44" i="7"/>
  <c r="C44" i="7"/>
  <c r="C43" i="7"/>
  <c r="C40" i="7"/>
  <c r="D39" i="7"/>
  <c r="C39" i="7"/>
  <c r="C38" i="7" s="1"/>
  <c r="C54" i="7" s="1"/>
  <c r="B67" i="7" s="1"/>
  <c r="D38" i="7"/>
  <c r="D54" i="7" s="1"/>
  <c r="C37" i="7"/>
  <c r="D33" i="7"/>
  <c r="C33" i="7"/>
  <c r="D32" i="7"/>
  <c r="C32" i="7"/>
  <c r="C18" i="7"/>
  <c r="D17" i="7"/>
  <c r="D15" i="7"/>
  <c r="C15" i="7"/>
  <c r="D14" i="7"/>
  <c r="D12" i="7"/>
  <c r="C12" i="7"/>
  <c r="C8" i="7" s="1"/>
  <c r="C26" i="7" s="1"/>
  <c r="D10" i="7"/>
  <c r="D8" i="7" s="1"/>
  <c r="D26" i="7" s="1"/>
  <c r="D9" i="7"/>
  <c r="G19" i="6"/>
  <c r="I19" i="6" s="1"/>
  <c r="G18" i="6"/>
  <c r="I18" i="6" s="1"/>
  <c r="G17" i="6"/>
  <c r="I17" i="6" s="1"/>
  <c r="G16" i="6"/>
  <c r="I16" i="6" s="1"/>
  <c r="F15" i="6"/>
  <c r="F20" i="6" s="1"/>
  <c r="D15" i="6"/>
  <c r="D20" i="6" s="1"/>
  <c r="D21" i="6" s="1"/>
  <c r="C15" i="6"/>
  <c r="C20" i="6" s="1"/>
  <c r="B15" i="6"/>
  <c r="B20" i="6" s="1"/>
  <c r="G14" i="6"/>
  <c r="I14" i="6" s="1"/>
  <c r="E13" i="6"/>
  <c r="G13" i="6" s="1"/>
  <c r="I8" i="6"/>
  <c r="G8" i="6"/>
  <c r="H7" i="6"/>
  <c r="H9" i="6" s="1"/>
  <c r="H10" i="6" s="1"/>
  <c r="F7" i="6"/>
  <c r="F9" i="6" s="1"/>
  <c r="F10" i="6" s="1"/>
  <c r="F12" i="6" s="1"/>
  <c r="F21" i="6" s="1"/>
  <c r="D7" i="6"/>
  <c r="D9" i="6" s="1"/>
  <c r="D10" i="6" s="1"/>
  <c r="C7" i="6"/>
  <c r="C9" i="6" s="1"/>
  <c r="C10" i="6" s="1"/>
  <c r="C12" i="6" s="1"/>
  <c r="C21" i="6" s="1"/>
  <c r="B7" i="6"/>
  <c r="B9" i="6" s="1"/>
  <c r="B10" i="6" s="1"/>
  <c r="B12" i="6" s="1"/>
  <c r="G6" i="6"/>
  <c r="I6" i="6" s="1"/>
  <c r="G4" i="6"/>
  <c r="B78" i="5"/>
  <c r="C75" i="5"/>
  <c r="B65" i="5"/>
  <c r="B75" i="5" s="1"/>
  <c r="C59" i="5"/>
  <c r="B55" i="5"/>
  <c r="B53" i="5" s="1"/>
  <c r="B59" i="5" s="1"/>
  <c r="C41" i="5"/>
  <c r="B41" i="5"/>
  <c r="B37" i="5"/>
  <c r="C31" i="5"/>
  <c r="B31" i="5"/>
  <c r="C30" i="5"/>
  <c r="B30" i="5"/>
  <c r="C27" i="5"/>
  <c r="B27" i="5"/>
  <c r="C26" i="5"/>
  <c r="B26" i="5"/>
  <c r="C19" i="5"/>
  <c r="B19" i="5"/>
  <c r="C11" i="5"/>
  <c r="C9" i="4"/>
  <c r="D7" i="4"/>
  <c r="C7" i="4"/>
  <c r="D37" i="3"/>
  <c r="C37" i="3"/>
  <c r="C27" i="3"/>
  <c r="C25" i="3" s="1"/>
  <c r="B7" i="5" s="1"/>
  <c r="D25" i="3"/>
  <c r="C7" i="5" s="1"/>
  <c r="D9" i="3"/>
  <c r="C9" i="3"/>
  <c r="D5" i="3"/>
  <c r="D13" i="3" s="1"/>
  <c r="D18" i="3" s="1"/>
  <c r="D23" i="3" s="1"/>
  <c r="D28" i="3" s="1"/>
  <c r="C5" i="3"/>
  <c r="C61" i="2"/>
  <c r="C57" i="2"/>
  <c r="D56" i="2"/>
  <c r="D45" i="2"/>
  <c r="C45" i="2"/>
  <c r="D35" i="2"/>
  <c r="C35" i="2"/>
  <c r="J21" i="6" s="1"/>
  <c r="D33" i="2"/>
  <c r="C33" i="2"/>
  <c r="D21" i="2"/>
  <c r="D20" i="2" s="1"/>
  <c r="D18" i="2" s="1"/>
  <c r="D29" i="2" s="1"/>
  <c r="C18" i="2"/>
  <c r="D9" i="2"/>
  <c r="C9" i="2"/>
  <c r="C29" i="2" s="1"/>
  <c r="C6" i="10" l="1"/>
  <c r="D44" i="8"/>
  <c r="D45" i="8" s="1"/>
  <c r="D32" i="8"/>
  <c r="B17" i="11"/>
  <c r="C67" i="7"/>
  <c r="C32" i="8"/>
  <c r="C44" i="8"/>
  <c r="C45" i="8" s="1"/>
  <c r="D17" i="11"/>
  <c r="G15" i="6"/>
  <c r="C6" i="5"/>
  <c r="B6" i="5"/>
  <c r="C13" i="3"/>
  <c r="C18" i="3" s="1"/>
  <c r="C23" i="3" s="1"/>
  <c r="C28" i="3" s="1"/>
  <c r="C32" i="3" s="1"/>
  <c r="E15" i="6"/>
  <c r="E20" i="6" s="1"/>
  <c r="D34" i="2"/>
  <c r="D44" i="2"/>
  <c r="C56" i="2"/>
  <c r="C44" i="2" s="1"/>
  <c r="C70" i="2" s="1"/>
  <c r="D32" i="3"/>
  <c r="D33" i="3"/>
  <c r="G20" i="6"/>
  <c r="B21" i="6"/>
  <c r="I4" i="6"/>
  <c r="D70" i="2"/>
  <c r="C34" i="2"/>
  <c r="B5" i="10" l="1"/>
  <c r="B30" i="10" s="1"/>
  <c r="B33" i="10" s="1"/>
  <c r="B57" i="10" s="1"/>
  <c r="B60" i="10" s="1"/>
  <c r="C40" i="8"/>
  <c r="E11" i="11"/>
  <c r="C39" i="8"/>
  <c r="C5" i="10"/>
  <c r="C30" i="10" s="1"/>
  <c r="C33" i="10" s="1"/>
  <c r="C57" i="10" s="1"/>
  <c r="C60" i="10" s="1"/>
  <c r="D40" i="8"/>
  <c r="D39" i="8"/>
  <c r="E5" i="11"/>
  <c r="C33" i="3"/>
  <c r="C4" i="4"/>
  <c r="C8" i="4" s="1"/>
  <c r="C38" i="3"/>
  <c r="B5" i="5"/>
  <c r="B35" i="5" s="1"/>
  <c r="B38" i="5" s="1"/>
  <c r="B76" i="5" s="1"/>
  <c r="D38" i="3"/>
  <c r="D39" i="3"/>
  <c r="D4" i="4"/>
  <c r="D8" i="4" s="1"/>
  <c r="D9" i="4" s="1"/>
  <c r="E7" i="11" l="1"/>
  <c r="F5" i="11"/>
  <c r="D47" i="8"/>
  <c r="D48" i="8" s="1"/>
  <c r="D4" i="9"/>
  <c r="D8" i="9" s="1"/>
  <c r="C4" i="9"/>
  <c r="C8" i="9" s="1"/>
  <c r="C47" i="8"/>
  <c r="C48" i="8" s="1"/>
  <c r="F11" i="11"/>
  <c r="E13" i="11"/>
  <c r="C40" i="3"/>
  <c r="C45" i="3"/>
  <c r="C44" i="3"/>
  <c r="E5" i="6"/>
  <c r="C5" i="5"/>
  <c r="C35" i="5" s="1"/>
  <c r="C38" i="5" s="1"/>
  <c r="C76" i="5" s="1"/>
  <c r="C81" i="5" s="1"/>
  <c r="B77" i="5" s="1"/>
  <c r="B81" i="5" s="1"/>
  <c r="D44" i="3"/>
  <c r="D45" i="3" s="1"/>
  <c r="D47" i="3" s="1"/>
  <c r="D48" i="3" s="1"/>
  <c r="E16" i="11" l="1"/>
  <c r="F16" i="11" s="1"/>
  <c r="F13" i="11"/>
  <c r="E8" i="11"/>
  <c r="E10" i="11" s="1"/>
  <c r="F7" i="11"/>
  <c r="F8" i="11" s="1"/>
  <c r="G5" i="6"/>
  <c r="E7" i="6"/>
  <c r="E9" i="6" s="1"/>
  <c r="E10" i="6" s="1"/>
  <c r="E12" i="6" s="1"/>
  <c r="C48" i="3"/>
  <c r="C47" i="3"/>
  <c r="H13" i="6"/>
  <c r="C10" i="4"/>
  <c r="E17" i="11" l="1"/>
  <c r="F10" i="11"/>
  <c r="F17" i="11" s="1"/>
  <c r="H15" i="6"/>
  <c r="I13" i="6"/>
  <c r="E21" i="6"/>
  <c r="G12" i="6"/>
  <c r="G7" i="6"/>
  <c r="I5" i="6"/>
  <c r="G9" i="6" l="1"/>
  <c r="I7" i="6"/>
  <c r="G21" i="6"/>
  <c r="I12" i="6"/>
  <c r="H20" i="6"/>
  <c r="H21" i="6" s="1"/>
  <c r="I15" i="6"/>
  <c r="I20" i="6" s="1"/>
  <c r="I21" i="6" l="1"/>
  <c r="I9" i="6"/>
  <c r="I10" i="6" s="1"/>
  <c r="G10" i="6"/>
</calcChain>
</file>

<file path=xl/sharedStrings.xml><?xml version="1.0" encoding="utf-8"?>
<sst xmlns="http://schemas.openxmlformats.org/spreadsheetml/2006/main" count="447" uniqueCount="261">
  <si>
    <t xml:space="preserve">SKONSOLIDOWANE  SPRAWOZDANIE FINANSOWE  GRUPY KAPITAŁOWEJ AILLERON SA 
ZA  2021 ROK ZAKOŃCZONY 31/12/2021
</t>
  </si>
  <si>
    <t>SPORZĄDZONE WEDŁUG
MIĘDZYNARODOWYCH STANDARDÓW SPRAWOZDAWCZOŚCI FINANSOWEJ</t>
  </si>
  <si>
    <t>WSZYSTKIE KWOTY PODANO W TYSIĄCACH ZŁOTYCH POLSKICH (TYS. PLN), O ILE NIE WSKAZANO INACZEJ</t>
  </si>
  <si>
    <t>SKONSOLIDOWANE SPRAWOZDANIE Z SYTUACJI FINANSOWEJ NA DZIEŃ 31.12.2021 ROKU</t>
  </si>
  <si>
    <t>AKTYWA</t>
  </si>
  <si>
    <t>nota</t>
  </si>
  <si>
    <t>tys. PLN</t>
  </si>
  <si>
    <t>Stan na 31/12/2021</t>
  </si>
  <si>
    <t>Stan na 31/12/2020</t>
  </si>
  <si>
    <t xml:space="preserve">AKTYWA TRWAŁE 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</si>
  <si>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</si>
  <si>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</si>
  <si>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</si>
  <si>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</si>
  <si>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</si>
  <si>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</si>
  <si>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</si>
  <si>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</si>
  <si>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</si>
  <si>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</si>
  <si>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</si>
  <si>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</si>
  <si>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</si>
  <si>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6, 21</t>
  </si>
  <si>
    <t>Należności z tytułu bieżącego podatku dochodowego</t>
  </si>
  <si>
    <t>Należności z tytułu innych podatków niż podatek dochodowy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</si>
  <si>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</si>
  <si>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</si>
  <si>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</si>
  <si>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</si>
  <si>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NA DZIEŃ 31.12.2021 ROKU -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</si>
  <si>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</si>
  <si>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</si>
  <si>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</si>
  <si>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</si>
  <si>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</si>
  <si>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</si>
  <si>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</si>
  <si>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Wynik wycen odnoszonych bezpośrednio poprzez kapitał własny</t>
  </si>
  <si>
    <t xml:space="preserve">Kwoty ujęte bezpośrednio w kapitale, związane z aktywami klasyfikowanymi jako przeznaczone do zbycia, </t>
  </si>
  <si>
    <t>Różnice kursowe z przeliczenia jednostek zagranicznych</t>
  </si>
  <si>
    <t>Udziały niekontrolujące</t>
  </si>
  <si>
    <r>
      <t>ZOBOWIĄZANIA</t>
    </r>
    <r>
      <rPr>
        <sz val="10"/>
        <rFont val="Lato Light"/>
        <family val="2"/>
        <charset val="238"/>
      </rPr>
      <t xml:space="preserve"> </t>
    </r>
  </si>
  <si>
    <t>Zobowiązania długoterminowe</t>
  </si>
  <si>
    <t xml:space="preserve">Długoterminowe zobowiązania z tyt. obligacji  </t>
  </si>
  <si>
    <t>Długoterminowe zobowiązania leasingowe</t>
  </si>
  <si>
    <t>25</t>
  </si>
  <si>
    <t>Długoterminowe zobowiązania finansowe z tyt kredytów</t>
  </si>
  <si>
    <t>Pozostałe zobowiązania długoterminowe</t>
  </si>
  <si>
    <t>Rezerwa na świadczenia emerytalne i podobne</t>
  </si>
  <si>
    <t>Inne rezerwy długoterminowe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</si>
  <si>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</si>
  <si>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</si>
  <si>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</si>
  <si>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</si>
  <si>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</si>
  <si>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 xml:space="preserve">Zobowiązania z tytułu dostaw i usług </t>
  </si>
  <si>
    <t>Zobowiązania kontraktowe</t>
  </si>
  <si>
    <t>Krótkoterminowe zobowiązania z tyt. otrzymanych kredytów</t>
  </si>
  <si>
    <t>Krótkoterminowe zobowiązania z tyt. Obligacji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</si>
  <si>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</si>
  <si>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</si>
  <si>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</si>
  <si>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</si>
  <si>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Rezerwy na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</si>
  <si>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</si>
  <si>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</si>
  <si>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</si>
  <si>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</si>
  <si>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SKONSOLIDOWANY RACHUNEK ZYSKÓW I STRAT ZA OKRES 01.01.2021 - 31.12.2021</t>
  </si>
  <si>
    <t>SKONSOLIDOWANY RACHUNEK ZYSKÓW I STRAT                                          (Wariant kalkulacyjny)</t>
  </si>
  <si>
    <t>tys.PLN</t>
  </si>
  <si>
    <t>Okres 
zakończony 
31/12/2021</t>
  </si>
  <si>
    <t>Okres 
zakończony 31/12/2020</t>
  </si>
  <si>
    <t>Działalność kontynuowana</t>
  </si>
  <si>
    <t>PRZYCHODY ZE SPRZEDAŻY</t>
  </si>
  <si>
    <t>5, 6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</si>
  <si>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</si>
  <si>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</si>
  <si>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</si>
  <si>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</si>
  <si>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</si>
  <si>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</si>
  <si>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</si>
  <si>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</si>
  <si>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</si>
  <si>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</si>
  <si>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</si>
  <si>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</si>
  <si>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</si>
  <si>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</si>
  <si>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</si>
  <si>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</si>
  <si>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</si>
  <si>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</si>
  <si>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</si>
  <si>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</si>
  <si>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</si>
  <si>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</si>
  <si>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</si>
  <si>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Zysk (strata) netto z działalności zaniechanej</t>
  </si>
  <si>
    <t>Całkowite dochody ogółem</t>
  </si>
  <si>
    <t>ZYSK (STRATA) NETTO</t>
  </si>
  <si>
    <t>SKONSOLIDOWANY RACHUNEK ZYSKÓW I STRAT ZA OKRES 01.01.2021 - 31.12.2021 - [C.D.]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</si>
  <si>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</si>
  <si>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</si>
  <si>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</si>
  <si>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</si>
  <si>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</si>
  <si>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</si>
  <si>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</si>
  <si>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</si>
  <si>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kontynuowanej i zaniechanej:</t>
  </si>
  <si>
    <t>Kraków, 29 kwietnia 2022 r.</t>
  </si>
  <si>
    <t>SKONSOLIDOWANE SPRAWOZDANIE Z CAŁKOWITYCH DOCHODÓW ZA OKRES 01.01.2021 - 31.12.2021</t>
  </si>
  <si>
    <t>SKONSOLIDOWANE SPRAWOZDANIE Z CAŁKOWITYCH DOCHODÓW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</si>
  <si>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</si>
  <si>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</si>
  <si>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</si>
  <si>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</si>
  <si>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</si>
  <si>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SKONSOLIDOWANE SPRAWOZDANIE Z PRZEPŁYWÓW PIENIĘŻNYCH 
ZA OKRES OD 1 STYCZNIA 2021 DO 31 GRUDNIA 2021 [METODA POŚREDNIA]</t>
  </si>
  <si>
    <t>Okres 
zakończony 31/12/2021</t>
  </si>
  <si>
    <t>Przepływy pieniężne z działalności operacyjnej</t>
  </si>
  <si>
    <t>Zysk za rok obrotowy</t>
  </si>
  <si>
    <t>Korekty:</t>
  </si>
  <si>
    <t>Koszt podatku dochodowego ujęty w wyniku</t>
  </si>
  <si>
    <t>Udział w zysku jednostek stowarzyszonych</t>
  </si>
  <si>
    <t>Koszty finansowe ujęte w wyniku</t>
  </si>
  <si>
    <t>Przychody z inwestycji ujęte w wyniku</t>
  </si>
  <si>
    <t>Zysk/Strata ze zbycia/zmiany przeznaczenia składników rzeczowych aktywów trwałych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</si>
  <si>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</si>
  <si>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</si>
  <si>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</si>
  <si>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</si>
  <si>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 xml:space="preserve">(Zysk) / strata netto z wyceny aktywów finansowych wycenianych w skorygowanej cenie nabycia   </t>
  </si>
  <si>
    <t>Zysk/strata z tytułu zwrotu wartości inwestycji długoterminowych</t>
  </si>
  <si>
    <t>Zysk/Strata z tytułu odwrócenia odpisu/utraty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</si>
  <si>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</si>
  <si>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</si>
  <si>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</si>
  <si>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</si>
  <si>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Pozostałe zmiany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</si>
  <si>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</si>
  <si>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</si>
  <si>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</si>
  <si>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</si>
  <si>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</si>
  <si>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</si>
  <si>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</si>
  <si>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</si>
  <si>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</si>
  <si>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</si>
  <si>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</si>
  <si>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</si>
  <si>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</si>
  <si>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</si>
  <si>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1 STYCZNIA 2021 DO 31 GRUDNIA 2021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</si>
  <si>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</si>
  <si>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</si>
  <si>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</si>
  <si>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</si>
  <si>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</si>
  <si>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</si>
  <si>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</si>
  <si>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</si>
  <si>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</si>
  <si>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</si>
  <si>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</si>
  <si>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</si>
  <si>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</si>
  <si>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</si>
  <si>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</si>
  <si>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</si>
  <si>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</si>
  <si>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</si>
  <si>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Transakcja z udziałowcami niekontrolującymi</t>
  </si>
  <si>
    <t xml:space="preserve">Płatności z tytułu kosztów emisji akcji </t>
  </si>
  <si>
    <t>Spłata odsetek od obligacji</t>
  </si>
  <si>
    <t>Spłata rat kredytowych</t>
  </si>
  <si>
    <t>Spłata odsetek od kredytu</t>
  </si>
  <si>
    <t>Płatności z tytułu wykupu obligacji</t>
  </si>
  <si>
    <t>Spłata pożyczki</t>
  </si>
  <si>
    <t>Zaciągnięcie kredytu długoterminowego</t>
  </si>
  <si>
    <t>Wpływy z pożyczek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</si>
  <si>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</si>
  <si>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</si>
  <si>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</si>
  <si>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</si>
  <si>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</si>
  <si>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</si>
  <si>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</si>
  <si>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</si>
  <si>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</si>
  <si>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</si>
  <si>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SKONSOLIDOWANE SPRAWOZDANIE ZE ZMIAN W KAPITALE WŁASNYM ZA OKRES SPRAWOZDAWCZY KOŃCZĄCY SIĘ
31 GRUDNIA 2021 ROKU</t>
  </si>
  <si>
    <t>Kapitał podstawowy</t>
  </si>
  <si>
    <t>Nadwyżka 
ze sprzedaży akcji</t>
  </si>
  <si>
    <t>Różnice kuroswe z przeliczenia jednostek zależnych</t>
  </si>
  <si>
    <t>Przypadające akcjonariuszom jednostki dominującej</t>
  </si>
  <si>
    <t>Razem</t>
  </si>
  <si>
    <t xml:space="preserve">Stan na 1 stycznia 2020 roku </t>
  </si>
  <si>
    <t>Zysk netto za rok obrotowy</t>
  </si>
  <si>
    <t>Pozostałe całkowite dochody za rok obrotowy (netto)</t>
  </si>
  <si>
    <t>Suma całkowitych dochodów</t>
  </si>
  <si>
    <t>Ujęcie rozliczenia związane z pierwszą konsolidacją spółek w USA</t>
  </si>
  <si>
    <t>Zmiana kapitałów własnych</t>
  </si>
  <si>
    <t>Stan na 31 grudnia  2020 roku</t>
  </si>
  <si>
    <t>Stan na 1 stycznia 2021 roku</t>
  </si>
  <si>
    <t>Transakcja z udziałowcami mniejszościowymi</t>
  </si>
  <si>
    <t>Nabycie jednostki zależnej</t>
  </si>
  <si>
    <t>Kapitał rezerwowy na program opcyjny</t>
  </si>
  <si>
    <t>Wypłata dywidendy</t>
  </si>
  <si>
    <t>Stan na 31 grudnia  2021 roku</t>
  </si>
  <si>
    <t xml:space="preserve">JEDNOSTKOWE  SPRAWOZDANIE FINANSOWE  AILLERON SA 
ZA  2021 ROK ZAKOŃCZONY 31/12/2021
</t>
  </si>
  <si>
    <t>JEDNOSTKOWE SPRAWOZDANIE Z SYTUACJI FINANSOWEJ NA DZIEŃ 31.12.2021 ROKU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</si>
  <si>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</si>
  <si>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</si>
  <si>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</si>
  <si>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Grupa aktywów przeznaczonych do zbycia</t>
  </si>
  <si>
    <t>JEDNOSTKOWE SPRAWOZDANIE Z SYTUACJI FINANSOWEJ NA DZIEŃ 31.12.2021 ROKU -C.D.</t>
  </si>
  <si>
    <t>27</t>
  </si>
  <si>
    <t>Zobowiązania związane z grupą aktywów przeznaczonych do zbycia</t>
  </si>
  <si>
    <t>JEDNOSTKOWY RACHUNEK ZYSKÓW I STRAT  ZA OKRES 01.01.2021 - 31.12.2021</t>
  </si>
  <si>
    <t>JEDNOSTKOWY RACHUNEK ZYSKÓW I STRAT                                          (Wariant kalkulacyjny)</t>
  </si>
  <si>
    <t>Okres zakończony 31/12/2021</t>
  </si>
  <si>
    <t>Okres zakończony 31/12/2020</t>
  </si>
  <si>
    <t>Koszt własny sprzedaży  (koszt sprzedanych produktów, usług, towarów i materiałów)</t>
  </si>
  <si>
    <t>Przychody ze sprzedaży</t>
  </si>
  <si>
    <t>Koszty operacyjne ogółem</t>
  </si>
  <si>
    <t>Zysk (strata) z działalności operacyjnej</t>
  </si>
  <si>
    <t>ZYSK (STRATA) NETTO RAZEM</t>
  </si>
  <si>
    <t>JEDNOSTKOWY RACHUNEK ZYSKÓW I STRAT  ZA OKRES 01.01.2021 - 31.12.2021 - C.D.</t>
  </si>
  <si>
    <t>Zysk (strata) netto:</t>
  </si>
  <si>
    <t>Akcjonariuszom podmiotu dominującego</t>
  </si>
  <si>
    <t>JEDNOSTKOWE SPRAWOZDANIE Z CAŁKOWITYCH DOCHODÓW  ZA OKRES 01.01.2021 - 31.12.2021</t>
  </si>
  <si>
    <t xml:space="preserve">JEDNOSTKOWE SPRAWOZDANIE Z CAŁKOWITYCH DOCHODÓW </t>
  </si>
  <si>
    <t>JEDNOSTKOWE SPRAWOZDANIE Z CAŁKOWITYCH DOCHODÓW ZA OKRES 01.01.2021 - 31.12.2021</t>
  </si>
  <si>
    <t>JEDNOSTKOWE SPRAWOZDANIE Z CAŁKOWITYCH DOCHODÓW</t>
  </si>
  <si>
    <t>JEDNOSTKOWE SPRAWOZDANIE Z PRZEPŁYWÓW PIENIĘŻNYCH                                               ZA OKRES OD 1 STYCZNIA 2021 DO 31 GRUDNIA 2021
[METODA POŚREDNIA]</t>
  </si>
  <si>
    <t>Zysk/Strata ze zbycia składników rzeczowych aktywów trwałych</t>
  </si>
  <si>
    <t>(Zysk) / strata netto z wyceny zobowiązań finansowych wycenianych w skorygowanej cenie nabycia</t>
  </si>
  <si>
    <t>(Zysk) / strata netto z wyceny aktywów finansowych wycenianych w skorygowanej cenie nabycia</t>
  </si>
  <si>
    <t>(Zysk)/strata ze zbycia jednostki zależnej</t>
  </si>
  <si>
    <t>Strata z tytułu utraty wartości należności z tytułu dostaw i usług</t>
  </si>
  <si>
    <t>Zmniejszenie salda zobowiązań z tytułu dostaw i usług oraz pozostałych zobowiązań</t>
  </si>
  <si>
    <t>Zapłacone odsetki</t>
  </si>
  <si>
    <t>JEDNOSTKOWE SPRAWOZDANIE Z PRZEPŁYWÓW PIENIĘŻNYCH                                              ZA OKRES OD 1 STYCZNIA 2021 DO 31 GRUDNIA 2021                                           [METODA POŚREDNIA] - C.D.</t>
  </si>
  <si>
    <t>Wpływy ze sprzedaży aktywów finansowych</t>
  </si>
  <si>
    <t>Spłata pożyczek wraz z odsetkami od jednostek pozostałych</t>
  </si>
  <si>
    <t>Płatności za  aktywa niematerialne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</si>
  <si>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</si>
  <si>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</si>
  <si>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</si>
  <si>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rat kredytowych i pożyczek</t>
  </si>
  <si>
    <t>Spłata odsetek od pożyczek otrzymanych od jednostek zależnych</t>
  </si>
  <si>
    <t>Zmiana stanu innych środków pieniężnych</t>
  </si>
  <si>
    <t>JEDNOSTKOWE SPRAWOZDANIE ZE ZMIAN W KAPITALE WŁASNYM ZA OKRES SPRAWOZDAWCZY KOŃCZĄCY SIĘ 31 GRUDNIA 2021 ROKU</t>
  </si>
  <si>
    <t>Stan na 1 stycznia 2020 roku</t>
  </si>
  <si>
    <t xml:space="preserve"> -   </t>
  </si>
  <si>
    <t>Stan na 31 grudnia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</si>
</sst>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&quot;  &quot;;\-\ #,###,&quot;  &quot;;_-* &quot;- &quot;\ _-;_-@_-"/>
    <numFmt numFmtId="165" formatCode="\-"/>
    <numFmt numFmtId="166" formatCode="_-* #,##0.00\ _z_ł_-;\-* #,##0.00\ _z_ł_-;_-* &quot;-&quot;??\ _z_ł_-;_-@_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8"/>
      <color rgb="FFE73E2A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9"/>
      <name val="Lato Light"/>
      <family val="2"/>
      <charset val="238"/>
    </font>
    <font>
      <sz val="11"/>
      <color rgb="FFFFFF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theme="1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color theme="1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0"/>
      <color rgb="FFE73E2A"/>
      <name val="Lato Light"/>
      <family val="2"/>
    </font>
    <font>
      <sz val="11"/>
      <color theme="1"/>
      <name val="Lato Light"/>
      <family val="2"/>
    </font>
    <font>
      <sz val="8.5"/>
      <color rgb="FF0D0D0D"/>
      <name val="Lato Light"/>
      <family val="2"/>
    </font>
    <font>
      <sz val="8.5"/>
      <color rgb="FFE73E2A"/>
      <name val="Lato Light"/>
      <family val="2"/>
    </font>
    <font>
      <sz val="8.5"/>
      <color theme="1"/>
      <name val="Lato Light"/>
      <family val="2"/>
    </font>
    <font>
      <sz val="8.5"/>
      <name val="Lato Light"/>
      <family val="2"/>
    </font>
    <font>
      <sz val="12"/>
      <color theme="1"/>
      <name val="Lato Light"/>
      <family val="2"/>
    </font>
    <font>
      <b/>
      <sz val="11"/>
      <color theme="8" tint="-0.249977111117893"/>
      <name val="Calibri"/>
      <family val="2"/>
      <charset val="238"/>
      <scheme val="minor"/>
    </font>
    <font>
      <sz val="11"/>
      <name val="Lato Light"/>
      <family val="2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1"/>
      <color rgb="FFE73E2A"/>
      <name val="Lato Light"/>
      <family val="2"/>
      <charset val="238"/>
    </font>
    <font>
      <sz val="9"/>
      <name val="Lato Light"/>
      <family val="2"/>
    </font>
    <font>
      <sz val="9"/>
      <color rgb="FF0D0D0D"/>
      <name val="Lato Light"/>
      <family val="2"/>
      <charset val="238"/>
    </font>
    <font>
      <sz val="9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3E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E73E2A"/>
      </bottom>
      <diagonal/>
    </border>
  </borders>
  <cellStyleXfs count="4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30" fillId="0" borderId="0"/>
  </cellStyleXfs>
  <cellXfs count="272">
    <xf numFmtId="0" fontId="0" fillId="0" borderId="0" xfId="0"/>
    <xf numFmtId="0" fontId="3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vertical="top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horizontal="center" vertical="top" wrapText="1"/>
    </xf>
    <xf numFmtId="0" fontId="5" fillId="2" borderId="0" xfId="1" applyFont="1" applyFill="1" applyAlignment="1">
      <alignment vertical="top" wrapText="1"/>
    </xf>
    <xf numFmtId="0" fontId="4" fillId="0" borderId="0" xfId="1" applyFont="1"/>
    <xf numFmtId="0" fontId="6" fillId="0" borderId="0" xfId="1" applyFont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3" fillId="2" borderId="0" xfId="1" applyFont="1" applyFill="1" applyAlignment="1">
      <alignment horizontal="left" vertical="center" wrapText="1"/>
    </xf>
    <xf numFmtId="0" fontId="1" fillId="0" borderId="0" xfId="1"/>
    <xf numFmtId="0" fontId="3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right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right" vertical="center"/>
    </xf>
    <xf numFmtId="0" fontId="3" fillId="0" borderId="3" xfId="1" applyFont="1" applyBorder="1" applyAlignment="1">
      <alignment horizontal="right" vertical="center" wrapText="1"/>
    </xf>
    <xf numFmtId="0" fontId="6" fillId="3" borderId="3" xfId="1" applyFont="1" applyFill="1" applyBorder="1" applyAlignment="1">
      <alignment horizontal="left" vertical="center"/>
    </xf>
    <xf numFmtId="0" fontId="6" fillId="3" borderId="3" xfId="1" applyFont="1" applyFill="1" applyBorder="1" applyAlignment="1">
      <alignment horizontal="right" vertical="center"/>
    </xf>
    <xf numFmtId="0" fontId="7" fillId="4" borderId="3" xfId="1" applyFont="1" applyFill="1" applyBorder="1" applyAlignment="1">
      <alignment horizontal="right" vertical="center" wrapText="1"/>
    </xf>
    <xf numFmtId="0" fontId="8" fillId="3" borderId="3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horizontal="right" vertical="center"/>
    </xf>
    <xf numFmtId="164" fontId="8" fillId="4" borderId="3" xfId="1" applyNumberFormat="1" applyFont="1" applyFill="1" applyBorder="1" applyAlignment="1">
      <alignment horizontal="right" vertical="center" wrapText="1"/>
    </xf>
    <xf numFmtId="0" fontId="8" fillId="3" borderId="0" xfId="1" applyFont="1" applyFill="1" applyAlignment="1">
      <alignment horizontal="left" vertical="center"/>
    </xf>
    <xf numFmtId="0" fontId="9" fillId="3" borderId="0" xfId="1" applyFont="1" applyFill="1" applyAlignment="1">
      <alignment horizontal="right" vertical="center" wrapText="1"/>
    </xf>
    <xf numFmtId="164" fontId="8" fillId="4" borderId="0" xfId="1" applyNumberFormat="1" applyFont="1" applyFill="1" applyAlignment="1">
      <alignment horizontal="right" vertical="center" wrapText="1"/>
    </xf>
    <xf numFmtId="0" fontId="8" fillId="3" borderId="0" xfId="1" applyFont="1" applyFill="1" applyAlignment="1">
      <alignment horizontal="right" vertical="center" wrapText="1"/>
    </xf>
    <xf numFmtId="0" fontId="10" fillId="0" borderId="0" xfId="1" applyFont="1"/>
    <xf numFmtId="0" fontId="8" fillId="3" borderId="0" xfId="1" applyFont="1" applyFill="1" applyAlignment="1">
      <alignment horizontal="right" vertical="center"/>
    </xf>
    <xf numFmtId="164" fontId="8" fillId="0" borderId="0" xfId="1" applyNumberFormat="1" applyFont="1" applyAlignment="1">
      <alignment horizontal="right" vertical="center" wrapText="1"/>
    </xf>
    <xf numFmtId="0" fontId="12" fillId="3" borderId="3" xfId="1" applyFont="1" applyFill="1" applyBorder="1" applyAlignment="1">
      <alignment horizontal="left" vertical="center"/>
    </xf>
    <xf numFmtId="0" fontId="12" fillId="3" borderId="3" xfId="1" applyFont="1" applyFill="1" applyBorder="1" applyAlignment="1">
      <alignment horizontal="right" vertical="center"/>
    </xf>
    <xf numFmtId="164" fontId="12" fillId="4" borderId="3" xfId="1" applyNumberFormat="1" applyFont="1" applyFill="1" applyBorder="1" applyAlignment="1">
      <alignment horizontal="right" vertical="center" wrapText="1"/>
    </xf>
    <xf numFmtId="164" fontId="1" fillId="0" borderId="0" xfId="1" applyNumberFormat="1"/>
    <xf numFmtId="0" fontId="12" fillId="4" borderId="0" xfId="1" applyFont="1" applyFill="1" applyAlignment="1">
      <alignment horizontal="left" vertical="center"/>
    </xf>
    <xf numFmtId="0" fontId="12" fillId="4" borderId="0" xfId="1" applyFont="1" applyFill="1" applyAlignment="1">
      <alignment horizontal="right" vertical="center"/>
    </xf>
    <xf numFmtId="0" fontId="12" fillId="4" borderId="0" xfId="1" applyFont="1" applyFill="1" applyAlignment="1">
      <alignment horizontal="right" vertical="center" wrapText="1"/>
    </xf>
    <xf numFmtId="0" fontId="3" fillId="4" borderId="0" xfId="1" applyFont="1" applyFill="1" applyAlignment="1">
      <alignment horizontal="left" vertical="center"/>
    </xf>
    <xf numFmtId="0" fontId="9" fillId="5" borderId="3" xfId="1" applyFont="1" applyFill="1" applyBorder="1" applyAlignment="1">
      <alignment horizontal="left" vertical="center"/>
    </xf>
    <xf numFmtId="0" fontId="9" fillId="5" borderId="3" xfId="1" applyFont="1" applyFill="1" applyBorder="1" applyAlignment="1">
      <alignment horizontal="right" vertical="center"/>
    </xf>
    <xf numFmtId="164" fontId="8" fillId="0" borderId="3" xfId="1" applyNumberFormat="1" applyFont="1" applyBorder="1" applyAlignment="1">
      <alignment horizontal="right" vertical="center" wrapText="1"/>
    </xf>
    <xf numFmtId="10" fontId="1" fillId="0" borderId="0" xfId="1" applyNumberFormat="1"/>
    <xf numFmtId="0" fontId="9" fillId="5" borderId="0" xfId="1" applyFont="1" applyFill="1" applyAlignment="1">
      <alignment horizontal="left" vertical="center"/>
    </xf>
    <xf numFmtId="0" fontId="9" fillId="5" borderId="0" xfId="1" applyFont="1" applyFill="1" applyAlignment="1">
      <alignment horizontal="right" vertical="center"/>
    </xf>
    <xf numFmtId="0" fontId="9" fillId="5" borderId="0" xfId="1" applyFont="1" applyFill="1" applyAlignment="1">
      <alignment horizontal="left" vertical="center" wrapText="1"/>
    </xf>
    <xf numFmtId="0" fontId="9" fillId="3" borderId="3" xfId="1" applyFont="1" applyFill="1" applyBorder="1" applyAlignment="1">
      <alignment horizontal="left" vertical="center"/>
    </xf>
    <xf numFmtId="0" fontId="9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164" fontId="8" fillId="4" borderId="2" xfId="1" applyNumberFormat="1" applyFont="1" applyFill="1" applyBorder="1" applyAlignment="1">
      <alignment horizontal="right" vertical="center" wrapText="1"/>
    </xf>
    <xf numFmtId="0" fontId="9" fillId="3" borderId="0" xfId="1" applyFont="1" applyFill="1" applyAlignment="1">
      <alignment horizontal="left" vertical="center"/>
    </xf>
    <xf numFmtId="0" fontId="13" fillId="3" borderId="0" xfId="1" applyFont="1" applyFill="1" applyAlignment="1">
      <alignment horizontal="right" vertical="center"/>
    </xf>
    <xf numFmtId="49" fontId="9" fillId="3" borderId="0" xfId="1" applyNumberFormat="1" applyFont="1" applyFill="1" applyAlignment="1">
      <alignment horizontal="right" vertical="center"/>
    </xf>
    <xf numFmtId="0" fontId="9" fillId="3" borderId="0" xfId="1" applyFont="1" applyFill="1" applyAlignment="1">
      <alignment horizontal="right" vertical="center"/>
    </xf>
    <xf numFmtId="165" fontId="8" fillId="4" borderId="0" xfId="1" applyNumberFormat="1" applyFont="1" applyFill="1" applyAlignment="1">
      <alignment horizontal="right" vertical="center" wrapText="1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9" fillId="3" borderId="0" xfId="1" applyFont="1" applyFill="1" applyAlignment="1">
      <alignment horizontal="left" vertical="center" wrapText="1"/>
    </xf>
    <xf numFmtId="0" fontId="1" fillId="0" borderId="0" xfId="1" applyAlignment="1">
      <alignment horizontal="right"/>
    </xf>
    <xf numFmtId="0" fontId="14" fillId="2" borderId="0" xfId="1" applyFont="1" applyFill="1"/>
    <xf numFmtId="2" fontId="1" fillId="0" borderId="0" xfId="1" applyNumberFormat="1"/>
    <xf numFmtId="0" fontId="3" fillId="0" borderId="0" xfId="1" applyFont="1" applyAlignment="1">
      <alignment horizontal="left" vertical="center" wrapText="1"/>
    </xf>
    <xf numFmtId="0" fontId="15" fillId="0" borderId="0" xfId="1" applyFont="1"/>
    <xf numFmtId="0" fontId="12" fillId="3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right" vertical="center" wrapText="1"/>
    </xf>
    <xf numFmtId="0" fontId="16" fillId="3" borderId="0" xfId="1" applyFont="1" applyFill="1" applyAlignment="1">
      <alignment horizontal="justify" vertical="center"/>
    </xf>
    <xf numFmtId="164" fontId="16" fillId="4" borderId="0" xfId="1" applyNumberFormat="1" applyFont="1" applyFill="1" applyAlignment="1">
      <alignment horizontal="right" vertical="center" wrapText="1"/>
    </xf>
    <xf numFmtId="0" fontId="16" fillId="4" borderId="0" xfId="1" applyFont="1" applyFill="1" applyAlignment="1">
      <alignment horizontal="right" vertical="center" wrapText="1"/>
    </xf>
    <xf numFmtId="0" fontId="17" fillId="3" borderId="3" xfId="1" applyFont="1" applyFill="1" applyBorder="1" applyAlignment="1">
      <alignment horizontal="left" vertical="center"/>
    </xf>
    <xf numFmtId="0" fontId="17" fillId="3" borderId="3" xfId="1" applyFont="1" applyFill="1" applyBorder="1" applyAlignment="1">
      <alignment horizontal="right" vertical="center"/>
    </xf>
    <xf numFmtId="164" fontId="18" fillId="4" borderId="3" xfId="1" applyNumberFormat="1" applyFont="1" applyFill="1" applyBorder="1" applyAlignment="1">
      <alignment horizontal="right" vertical="center" wrapText="1"/>
    </xf>
    <xf numFmtId="0" fontId="18" fillId="3" borderId="0" xfId="1" applyFont="1" applyFill="1" applyAlignment="1">
      <alignment horizontal="left" vertical="center"/>
    </xf>
    <xf numFmtId="164" fontId="18" fillId="4" borderId="0" xfId="1" applyNumberFormat="1" applyFont="1" applyFill="1" applyAlignment="1">
      <alignment horizontal="right" vertical="center" wrapText="1"/>
    </xf>
    <xf numFmtId="0" fontId="18" fillId="3" borderId="3" xfId="1" applyFont="1" applyFill="1" applyBorder="1" applyAlignment="1">
      <alignment horizontal="left" vertical="center" wrapText="1"/>
    </xf>
    <xf numFmtId="0" fontId="18" fillId="3" borderId="3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164" fontId="18" fillId="2" borderId="0" xfId="1" applyNumberFormat="1" applyFont="1" applyFill="1" applyAlignment="1">
      <alignment horizontal="right" vertical="center" wrapText="1"/>
    </xf>
    <xf numFmtId="3" fontId="1" fillId="0" borderId="0" xfId="1" applyNumberFormat="1"/>
    <xf numFmtId="0" fontId="18" fillId="3" borderId="0" xfId="1" applyFont="1" applyFill="1" applyAlignment="1">
      <alignment horizontal="right" vertical="center"/>
    </xf>
    <xf numFmtId="9" fontId="1" fillId="0" borderId="0" xfId="1" applyNumberFormat="1"/>
    <xf numFmtId="0" fontId="18" fillId="3" borderId="3" xfId="1" applyFont="1" applyFill="1" applyBorder="1" applyAlignment="1">
      <alignment horizontal="right" vertical="center"/>
    </xf>
    <xf numFmtId="0" fontId="19" fillId="3" borderId="3" xfId="1" applyFont="1" applyFill="1" applyBorder="1" applyAlignment="1">
      <alignment horizontal="right" vertical="center"/>
    </xf>
    <xf numFmtId="0" fontId="16" fillId="3" borderId="3" xfId="1" applyFont="1" applyFill="1" applyBorder="1" applyAlignment="1">
      <alignment horizontal="left" vertical="center"/>
    </xf>
    <xf numFmtId="164" fontId="12" fillId="0" borderId="3" xfId="1" applyNumberFormat="1" applyFont="1" applyBorder="1" applyAlignment="1">
      <alignment horizontal="right" vertical="center" wrapText="1"/>
    </xf>
    <xf numFmtId="0" fontId="8" fillId="4" borderId="0" xfId="1" applyFont="1" applyFill="1" applyAlignment="1">
      <alignment horizontal="left" vertical="center"/>
    </xf>
    <xf numFmtId="0" fontId="17" fillId="4" borderId="0" xfId="1" applyFont="1" applyFill="1" applyAlignment="1">
      <alignment horizontal="right" vertical="center" wrapText="1"/>
    </xf>
    <xf numFmtId="0" fontId="12" fillId="3" borderId="1" xfId="1" applyFont="1" applyFill="1" applyBorder="1" applyAlignment="1">
      <alignment horizontal="right" vertical="center" wrapText="1"/>
    </xf>
    <xf numFmtId="0" fontId="12" fillId="3" borderId="2" xfId="1" applyFont="1" applyFill="1" applyBorder="1" applyAlignment="1">
      <alignment horizontal="right" vertical="center" wrapText="1"/>
    </xf>
    <xf numFmtId="0" fontId="18" fillId="3" borderId="2" xfId="1" applyFont="1" applyFill="1" applyBorder="1" applyAlignment="1">
      <alignment horizontal="left" vertical="center"/>
    </xf>
    <xf numFmtId="164" fontId="18" fillId="4" borderId="2" xfId="1" applyNumberFormat="1" applyFont="1" applyFill="1" applyBorder="1" applyAlignment="1">
      <alignment horizontal="right" vertical="center" wrapText="1"/>
    </xf>
    <xf numFmtId="164" fontId="18" fillId="4" borderId="1" xfId="1" applyNumberFormat="1" applyFont="1" applyFill="1" applyBorder="1" applyAlignment="1">
      <alignment horizontal="right" vertical="center" wrapText="1"/>
    </xf>
    <xf numFmtId="164" fontId="18" fillId="4" borderId="0" xfId="1" applyNumberFormat="1" applyFont="1" applyFill="1" applyAlignment="1">
      <alignment horizontal="right" vertical="center" wrapText="1"/>
    </xf>
    <xf numFmtId="2" fontId="20" fillId="4" borderId="0" xfId="2" applyNumberFormat="1" applyFont="1" applyFill="1" applyAlignment="1">
      <alignment horizontal="right" vertical="center" wrapText="1"/>
    </xf>
    <xf numFmtId="0" fontId="1" fillId="6" borderId="0" xfId="1" applyFill="1"/>
    <xf numFmtId="2" fontId="20" fillId="4" borderId="2" xfId="2" applyNumberFormat="1" applyFont="1" applyFill="1" applyBorder="1" applyAlignment="1">
      <alignment horizontal="right" vertical="center" wrapText="1"/>
    </xf>
    <xf numFmtId="0" fontId="18" fillId="0" borderId="0" xfId="1" applyFont="1" applyAlignment="1">
      <alignment horizontal="left" vertical="center"/>
    </xf>
    <xf numFmtId="2" fontId="20" fillId="0" borderId="0" xfId="2" applyNumberFormat="1" applyFont="1" applyFill="1" applyBorder="1" applyAlignment="1">
      <alignment horizontal="right" vertical="center" wrapText="1"/>
    </xf>
    <xf numFmtId="0" fontId="14" fillId="0" borderId="0" xfId="1" applyFont="1"/>
    <xf numFmtId="164" fontId="16" fillId="4" borderId="3" xfId="1" applyNumberFormat="1" applyFont="1" applyFill="1" applyBorder="1" applyAlignment="1">
      <alignment horizontal="right" vertical="center" wrapText="1"/>
    </xf>
    <xf numFmtId="164" fontId="19" fillId="4" borderId="0" xfId="1" applyNumberFormat="1" applyFont="1" applyFill="1" applyAlignment="1">
      <alignment horizontal="right" vertical="center" wrapText="1"/>
    </xf>
    <xf numFmtId="164" fontId="19" fillId="4" borderId="3" xfId="1" applyNumberFormat="1" applyFont="1" applyFill="1" applyBorder="1" applyAlignment="1">
      <alignment horizontal="right" vertical="center" wrapText="1"/>
    </xf>
    <xf numFmtId="2" fontId="20" fillId="4" borderId="0" xfId="2" applyNumberFormat="1" applyFont="1" applyFill="1" applyBorder="1" applyAlignment="1">
      <alignment horizontal="right" vertical="center" wrapText="1"/>
    </xf>
    <xf numFmtId="164" fontId="19" fillId="0" borderId="3" xfId="1" applyNumberFormat="1" applyFont="1" applyBorder="1" applyAlignment="1">
      <alignment horizontal="right" vertical="center" wrapText="1"/>
    </xf>
    <xf numFmtId="164" fontId="19" fillId="0" borderId="0" xfId="1" applyNumberFormat="1" applyFont="1" applyAlignment="1">
      <alignment horizontal="right" vertical="center" wrapText="1"/>
    </xf>
    <xf numFmtId="164" fontId="16" fillId="0" borderId="3" xfId="1" applyNumberFormat="1" applyFont="1" applyBorder="1" applyAlignment="1">
      <alignment horizontal="right" vertical="center" wrapText="1"/>
    </xf>
    <xf numFmtId="0" fontId="12" fillId="3" borderId="0" xfId="1" applyFont="1" applyFill="1" applyAlignment="1">
      <alignment horizontal="left" vertical="center"/>
    </xf>
    <xf numFmtId="164" fontId="9" fillId="0" borderId="0" xfId="1" applyNumberFormat="1" applyFont="1" applyAlignment="1">
      <alignment horizontal="right" vertical="center" wrapText="1"/>
    </xf>
    <xf numFmtId="0" fontId="1" fillId="0" borderId="1" xfId="1" applyBorder="1"/>
    <xf numFmtId="0" fontId="3" fillId="0" borderId="2" xfId="1" applyFont="1" applyBorder="1" applyAlignment="1">
      <alignment horizontal="left" vertical="center" wrapText="1"/>
    </xf>
    <xf numFmtId="0" fontId="20" fillId="3" borderId="3" xfId="1" applyFont="1" applyFill="1" applyBorder="1" applyAlignment="1">
      <alignment horizontal="left" vertical="center" wrapText="1"/>
    </xf>
    <xf numFmtId="0" fontId="16" fillId="4" borderId="3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left" vertical="center" wrapText="1"/>
    </xf>
    <xf numFmtId="0" fontId="16" fillId="4" borderId="3" xfId="1" applyFont="1" applyFill="1" applyBorder="1" applyAlignment="1">
      <alignment horizontal="right" vertical="center" wrapText="1"/>
    </xf>
    <xf numFmtId="164" fontId="20" fillId="0" borderId="3" xfId="1" applyNumberFormat="1" applyFont="1" applyBorder="1" applyAlignment="1">
      <alignment horizontal="right" vertical="center" wrapText="1"/>
    </xf>
    <xf numFmtId="0" fontId="19" fillId="5" borderId="0" xfId="1" applyFont="1" applyFill="1" applyAlignment="1">
      <alignment horizontal="left" vertical="center" wrapText="1"/>
    </xf>
    <xf numFmtId="164" fontId="18" fillId="0" borderId="0" xfId="1" applyNumberFormat="1" applyFont="1" applyAlignment="1">
      <alignment horizontal="right" vertical="center" wrapText="1"/>
    </xf>
    <xf numFmtId="0" fontId="19" fillId="5" borderId="0" xfId="1" applyFont="1" applyFill="1" applyAlignment="1">
      <alignment horizontal="left" vertical="center"/>
    </xf>
    <xf numFmtId="0" fontId="19" fillId="3" borderId="0" xfId="1" applyFont="1" applyFill="1" applyAlignment="1">
      <alignment horizontal="left" wrapText="1"/>
    </xf>
    <xf numFmtId="0" fontId="19" fillId="3" borderId="0" xfId="1" applyFont="1" applyFill="1" applyAlignment="1">
      <alignment horizontal="left" vertical="center" wrapText="1"/>
    </xf>
    <xf numFmtId="0" fontId="19" fillId="3" borderId="3" xfId="1" applyFont="1" applyFill="1" applyBorder="1" applyAlignment="1">
      <alignment horizontal="left" vertical="center" wrapText="1"/>
    </xf>
    <xf numFmtId="0" fontId="17" fillId="3" borderId="3" xfId="1" applyFont="1" applyFill="1" applyBorder="1" applyAlignment="1">
      <alignment horizontal="left" vertical="center" wrapText="1"/>
    </xf>
    <xf numFmtId="0" fontId="18" fillId="4" borderId="2" xfId="1" applyFont="1" applyFill="1" applyBorder="1" applyAlignment="1">
      <alignment horizontal="right" vertical="center" wrapText="1"/>
    </xf>
    <xf numFmtId="165" fontId="18" fillId="4" borderId="0" xfId="1" applyNumberFormat="1" applyFont="1" applyFill="1" applyAlignment="1">
      <alignment horizontal="right" vertical="center" wrapText="1"/>
    </xf>
    <xf numFmtId="164" fontId="18" fillId="0" borderId="3" xfId="1" applyNumberFormat="1" applyFont="1" applyBorder="1" applyAlignment="1">
      <alignment horizontal="right" vertical="center" wrapText="1"/>
    </xf>
    <xf numFmtId="0" fontId="18" fillId="0" borderId="3" xfId="1" applyFont="1" applyBorder="1" applyAlignment="1">
      <alignment horizontal="right" vertical="center" wrapText="1"/>
    </xf>
    <xf numFmtId="165" fontId="18" fillId="0" borderId="0" xfId="1" applyNumberFormat="1" applyFont="1" applyAlignment="1">
      <alignment horizontal="right" vertical="center" wrapText="1"/>
    </xf>
    <xf numFmtId="0" fontId="18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" fillId="0" borderId="0" xfId="1" applyAlignment="1">
      <alignment wrapText="1"/>
    </xf>
    <xf numFmtId="0" fontId="8" fillId="2" borderId="0" xfId="1" applyFont="1" applyFill="1"/>
    <xf numFmtId="0" fontId="21" fillId="2" borderId="2" xfId="1" applyFont="1" applyFill="1" applyBorder="1" applyAlignment="1">
      <alignment horizontal="center" vertical="center" wrapText="1"/>
    </xf>
    <xf numFmtId="0" fontId="22" fillId="0" borderId="0" xfId="1" applyFont="1"/>
    <xf numFmtId="0" fontId="23" fillId="5" borderId="1" xfId="1" applyFont="1" applyFill="1" applyBorder="1" applyAlignment="1">
      <alignment horizontal="justify" vertical="center"/>
    </xf>
    <xf numFmtId="0" fontId="24" fillId="4" borderId="4" xfId="1" applyFont="1" applyFill="1" applyBorder="1" applyAlignment="1">
      <alignment horizontal="center" vertical="center" wrapText="1"/>
    </xf>
    <xf numFmtId="0" fontId="24" fillId="4" borderId="3" xfId="1" applyFont="1" applyFill="1" applyBorder="1" applyAlignment="1">
      <alignment horizontal="center" vertical="center" wrapText="1"/>
    </xf>
    <xf numFmtId="0" fontId="25" fillId="0" borderId="0" xfId="1" applyFont="1"/>
    <xf numFmtId="0" fontId="23" fillId="5" borderId="0" xfId="1" applyFont="1" applyFill="1" applyAlignment="1">
      <alignment horizontal="justify" vertical="center"/>
    </xf>
    <xf numFmtId="0" fontId="24" fillId="0" borderId="5" xfId="1" applyFont="1" applyBorder="1" applyAlignment="1">
      <alignment horizontal="right" wrapText="1"/>
    </xf>
    <xf numFmtId="0" fontId="24" fillId="0" borderId="4" xfId="1" applyFont="1" applyBorder="1" applyAlignment="1">
      <alignment horizontal="right" wrapText="1"/>
    </xf>
    <xf numFmtId="0" fontId="25" fillId="0" borderId="0" xfId="1" applyFont="1" applyAlignment="1">
      <alignment wrapText="1"/>
    </xf>
    <xf numFmtId="0" fontId="26" fillId="3" borderId="6" xfId="1" applyFont="1" applyFill="1" applyBorder="1" applyAlignment="1">
      <alignment horizontal="left" vertical="center"/>
    </xf>
    <xf numFmtId="167" fontId="26" fillId="4" borderId="4" xfId="1" applyNumberFormat="1" applyFont="1" applyFill="1" applyBorder="1" applyAlignment="1">
      <alignment horizontal="right" vertical="center" wrapText="1"/>
    </xf>
    <xf numFmtId="167" fontId="26" fillId="4" borderId="3" xfId="1" applyNumberFormat="1" applyFont="1" applyFill="1" applyBorder="1" applyAlignment="1">
      <alignment horizontal="right" vertical="center" wrapText="1"/>
    </xf>
    <xf numFmtId="167" fontId="26" fillId="0" borderId="3" xfId="1" applyNumberFormat="1" applyFont="1" applyBorder="1" applyAlignment="1">
      <alignment horizontal="right" vertical="center" wrapText="1"/>
    </xf>
    <xf numFmtId="167" fontId="26" fillId="4" borderId="7" xfId="1" applyNumberFormat="1" applyFont="1" applyFill="1" applyBorder="1" applyAlignment="1">
      <alignment horizontal="right" vertical="center" wrapText="1"/>
    </xf>
    <xf numFmtId="167" fontId="26" fillId="4" borderId="0" xfId="1" applyNumberFormat="1" applyFont="1" applyFill="1" applyAlignment="1">
      <alignment horizontal="right" vertical="center" wrapText="1"/>
    </xf>
    <xf numFmtId="167" fontId="26" fillId="0" borderId="0" xfId="1" applyNumberFormat="1" applyFont="1" applyAlignment="1">
      <alignment horizontal="right" vertical="center" wrapText="1"/>
    </xf>
    <xf numFmtId="167" fontId="26" fillId="4" borderId="8" xfId="1" applyNumberFormat="1" applyFont="1" applyFill="1" applyBorder="1" applyAlignment="1">
      <alignment horizontal="right" vertical="center" wrapText="1"/>
    </xf>
    <xf numFmtId="167" fontId="26" fillId="4" borderId="9" xfId="1" applyNumberFormat="1" applyFont="1" applyFill="1" applyBorder="1" applyAlignment="1">
      <alignment horizontal="right" vertical="center" wrapText="1"/>
    </xf>
    <xf numFmtId="0" fontId="26" fillId="3" borderId="10" xfId="1" applyFont="1" applyFill="1" applyBorder="1" applyAlignment="1">
      <alignment horizontal="left" vertical="center"/>
    </xf>
    <xf numFmtId="0" fontId="26" fillId="3" borderId="9" xfId="1" applyFont="1" applyFill="1" applyBorder="1" applyAlignment="1">
      <alignment horizontal="left" vertical="center"/>
    </xf>
    <xf numFmtId="0" fontId="24" fillId="3" borderId="7" xfId="1" applyFont="1" applyFill="1" applyBorder="1" applyAlignment="1">
      <alignment horizontal="left" vertical="center"/>
    </xf>
    <xf numFmtId="167" fontId="26" fillId="4" borderId="11" xfId="1" applyNumberFormat="1" applyFont="1" applyFill="1" applyBorder="1" applyAlignment="1">
      <alignment horizontal="right" vertical="center" wrapText="1"/>
    </xf>
    <xf numFmtId="167" fontId="26" fillId="4" borderId="10" xfId="1" applyNumberFormat="1" applyFont="1" applyFill="1" applyBorder="1" applyAlignment="1">
      <alignment horizontal="right" vertical="center" wrapText="1"/>
    </xf>
    <xf numFmtId="3" fontId="25" fillId="0" borderId="0" xfId="1" applyNumberFormat="1" applyFont="1"/>
    <xf numFmtId="0" fontId="24" fillId="2" borderId="3" xfId="1" applyFont="1" applyFill="1" applyBorder="1" applyAlignment="1">
      <alignment vertical="center" wrapText="1"/>
    </xf>
    <xf numFmtId="0" fontId="24" fillId="2" borderId="1" xfId="1" applyFont="1" applyFill="1" applyBorder="1" applyAlignment="1">
      <alignment vertical="center" wrapText="1"/>
    </xf>
    <xf numFmtId="14" fontId="25" fillId="0" borderId="0" xfId="1" applyNumberFormat="1" applyFont="1"/>
    <xf numFmtId="0" fontId="26" fillId="3" borderId="1" xfId="1" applyFont="1" applyFill="1" applyBorder="1" applyAlignment="1">
      <alignment horizontal="left" vertical="center"/>
    </xf>
    <xf numFmtId="167" fontId="26" fillId="4" borderId="12" xfId="1" applyNumberFormat="1" applyFont="1" applyFill="1" applyBorder="1" applyAlignment="1">
      <alignment horizontal="right" vertical="center" wrapText="1"/>
    </xf>
    <xf numFmtId="0" fontId="26" fillId="3" borderId="0" xfId="1" applyFont="1" applyFill="1" applyAlignment="1">
      <alignment horizontal="left" vertical="center"/>
    </xf>
    <xf numFmtId="0" fontId="26" fillId="3" borderId="3" xfId="1" applyFont="1" applyFill="1" applyBorder="1" applyAlignment="1">
      <alignment horizontal="left" vertical="center"/>
    </xf>
    <xf numFmtId="0" fontId="26" fillId="3" borderId="2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left" vertical="center"/>
    </xf>
    <xf numFmtId="0" fontId="27" fillId="2" borderId="0" xfId="1" applyFont="1" applyFill="1"/>
    <xf numFmtId="3" fontId="8" fillId="4" borderId="3" xfId="1" applyNumberFormat="1" applyFont="1" applyFill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3" fontId="8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28" fillId="0" borderId="0" xfId="1" applyFont="1" applyAlignment="1">
      <alignment vertical="center"/>
    </xf>
    <xf numFmtId="168" fontId="8" fillId="0" borderId="0" xfId="1" applyNumberFormat="1" applyFont="1" applyAlignment="1">
      <alignment horizontal="right" vertical="center" wrapText="1"/>
    </xf>
    <xf numFmtId="4" fontId="11" fillId="0" borderId="0" xfId="1" applyNumberFormat="1" applyFont="1" applyAlignment="1">
      <alignment horizontal="left" vertical="center" wrapText="1"/>
    </xf>
    <xf numFmtId="0" fontId="8" fillId="4" borderId="0" xfId="1" applyFont="1" applyFill="1" applyAlignment="1">
      <alignment horizontal="right" vertical="center" wrapText="1"/>
    </xf>
    <xf numFmtId="3" fontId="28" fillId="0" borderId="0" xfId="1" applyNumberFormat="1" applyFont="1" applyAlignment="1">
      <alignment vertical="center"/>
    </xf>
    <xf numFmtId="3" fontId="8" fillId="0" borderId="13" xfId="1" applyNumberFormat="1" applyFont="1" applyBorder="1" applyAlignment="1">
      <alignment horizontal="right" vertical="center" wrapText="1"/>
    </xf>
    <xf numFmtId="3" fontId="8" fillId="4" borderId="13" xfId="1" applyNumberFormat="1" applyFont="1" applyFill="1" applyBorder="1" applyAlignment="1">
      <alignment horizontal="right" vertical="center" wrapText="1"/>
    </xf>
    <xf numFmtId="0" fontId="8" fillId="3" borderId="14" xfId="1" applyFont="1" applyFill="1" applyBorder="1" applyAlignment="1">
      <alignment horizontal="left" vertical="center"/>
    </xf>
    <xf numFmtId="0" fontId="8" fillId="3" borderId="14" xfId="1" applyFont="1" applyFill="1" applyBorder="1" applyAlignment="1">
      <alignment horizontal="right" vertical="center"/>
    </xf>
    <xf numFmtId="168" fontId="8" fillId="0" borderId="13" xfId="1" applyNumberFormat="1" applyFont="1" applyBorder="1" applyAlignment="1">
      <alignment horizontal="right" vertical="center" wrapText="1"/>
    </xf>
    <xf numFmtId="3" fontId="12" fillId="4" borderId="3" xfId="1" applyNumberFormat="1" applyFont="1" applyFill="1" applyBorder="1" applyAlignment="1">
      <alignment horizontal="right" vertical="center" wrapText="1"/>
    </xf>
    <xf numFmtId="0" fontId="12" fillId="4" borderId="0" xfId="1" applyFont="1" applyFill="1" applyAlignment="1">
      <alignment horizontal="left" vertical="center"/>
    </xf>
    <xf numFmtId="0" fontId="12" fillId="4" borderId="0" xfId="1" applyFont="1" applyFill="1" applyAlignment="1">
      <alignment horizontal="right" vertical="center" wrapText="1"/>
    </xf>
    <xf numFmtId="4" fontId="1" fillId="0" borderId="0" xfId="1" applyNumberFormat="1"/>
    <xf numFmtId="165" fontId="1" fillId="0" borderId="0" xfId="1" applyNumberFormat="1" applyAlignment="1">
      <alignment vertical="center"/>
    </xf>
    <xf numFmtId="3" fontId="8" fillId="4" borderId="0" xfId="1" applyNumberFormat="1" applyFont="1" applyFill="1" applyAlignment="1">
      <alignment horizontal="right" vertical="center" wrapText="1"/>
    </xf>
    <xf numFmtId="3" fontId="8" fillId="0" borderId="3" xfId="1" applyNumberFormat="1" applyFont="1" applyBorder="1" applyAlignment="1">
      <alignment horizontal="right" vertical="center" wrapText="1"/>
    </xf>
    <xf numFmtId="3" fontId="8" fillId="4" borderId="2" xfId="1" applyNumberFormat="1" applyFont="1" applyFill="1" applyBorder="1" applyAlignment="1">
      <alignment horizontal="right" vertical="center" wrapText="1"/>
    </xf>
    <xf numFmtId="4" fontId="1" fillId="7" borderId="0" xfId="1" applyNumberFormat="1" applyFill="1" applyAlignment="1">
      <alignment vertical="center"/>
    </xf>
    <xf numFmtId="0" fontId="8" fillId="0" borderId="0" xfId="1" applyFont="1" applyAlignment="1">
      <alignment horizontal="right"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3" borderId="3" xfId="1" applyFont="1" applyFill="1" applyBorder="1" applyAlignment="1">
      <alignment horizontal="left" vertical="center" wrapText="1"/>
    </xf>
    <xf numFmtId="3" fontId="12" fillId="0" borderId="3" xfId="1" applyNumberFormat="1" applyFont="1" applyBorder="1" applyAlignment="1">
      <alignment horizontal="right" vertical="center" wrapText="1"/>
    </xf>
    <xf numFmtId="3" fontId="1" fillId="0" borderId="0" xfId="1" applyNumberFormat="1" applyAlignment="1">
      <alignment horizontal="right"/>
    </xf>
    <xf numFmtId="0" fontId="7" fillId="2" borderId="0" xfId="1" applyFont="1" applyFill="1" applyAlignment="1">
      <alignment horizontal="left" vertical="center" wrapText="1"/>
    </xf>
    <xf numFmtId="0" fontId="29" fillId="2" borderId="0" xfId="1" applyFont="1" applyFill="1" applyAlignment="1">
      <alignment horizontal="left" vertical="center"/>
    </xf>
    <xf numFmtId="0" fontId="1" fillId="2" borderId="0" xfId="1" applyFill="1"/>
    <xf numFmtId="3" fontId="18" fillId="0" borderId="3" xfId="1" applyNumberFormat="1" applyFont="1" applyBorder="1" applyAlignment="1">
      <alignment horizontal="right" vertical="center" wrapText="1"/>
    </xf>
    <xf numFmtId="3" fontId="18" fillId="4" borderId="0" xfId="1" applyNumberFormat="1" applyFont="1" applyFill="1" applyAlignment="1">
      <alignment horizontal="right" vertical="center" wrapText="1"/>
    </xf>
    <xf numFmtId="3" fontId="18" fillId="4" borderId="3" xfId="1" applyNumberFormat="1" applyFont="1" applyFill="1" applyBorder="1" applyAlignment="1">
      <alignment horizontal="right" vertical="center" wrapText="1"/>
    </xf>
    <xf numFmtId="0" fontId="1" fillId="0" borderId="0" xfId="1" applyAlignment="1">
      <alignment horizontal="left" vertical="center"/>
    </xf>
    <xf numFmtId="3" fontId="18" fillId="0" borderId="0" xfId="1" applyNumberFormat="1" applyFont="1" applyAlignment="1">
      <alignment horizontal="right" vertical="center" wrapText="1"/>
    </xf>
    <xf numFmtId="0" fontId="18" fillId="4" borderId="0" xfId="1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18" fillId="0" borderId="0" xfId="1" applyFont="1" applyAlignment="1">
      <alignment horizontal="right" vertical="center" wrapText="1"/>
    </xf>
    <xf numFmtId="0" fontId="18" fillId="4" borderId="3" xfId="1" applyFont="1" applyFill="1" applyBorder="1" applyAlignment="1">
      <alignment horizontal="right" vertical="center" wrapText="1"/>
    </xf>
    <xf numFmtId="0" fontId="19" fillId="3" borderId="3" xfId="1" applyFont="1" applyFill="1" applyBorder="1" applyAlignment="1">
      <alignment horizontal="left" vertical="center"/>
    </xf>
    <xf numFmtId="3" fontId="19" fillId="0" borderId="3" xfId="1" applyNumberFormat="1" applyFont="1" applyBorder="1" applyAlignment="1">
      <alignment horizontal="right" vertical="center" wrapText="1"/>
    </xf>
    <xf numFmtId="3" fontId="16" fillId="0" borderId="3" xfId="1" applyNumberFormat="1" applyFont="1" applyBorder="1" applyAlignment="1">
      <alignment horizontal="right" vertical="center" wrapText="1"/>
    </xf>
    <xf numFmtId="0" fontId="12" fillId="2" borderId="0" xfId="1" applyFont="1" applyFill="1" applyAlignment="1">
      <alignment horizontal="left" vertical="center"/>
    </xf>
    <xf numFmtId="3" fontId="16" fillId="0" borderId="0" xfId="1" applyNumberFormat="1" applyFont="1" applyAlignment="1">
      <alignment horizontal="right" vertical="center" wrapText="1"/>
    </xf>
    <xf numFmtId="3" fontId="16" fillId="4" borderId="0" xfId="1" applyNumberFormat="1" applyFont="1" applyFill="1" applyAlignment="1">
      <alignment horizontal="right" vertical="center" wrapText="1"/>
    </xf>
    <xf numFmtId="0" fontId="3" fillId="4" borderId="0" xfId="1" applyFont="1" applyFill="1" applyAlignment="1">
      <alignment horizontal="left" vertical="top" wrapText="1"/>
    </xf>
    <xf numFmtId="3" fontId="18" fillId="4" borderId="2" xfId="1" applyNumberFormat="1" applyFont="1" applyFill="1" applyBorder="1" applyAlignment="1">
      <alignment horizontal="right" vertical="center" wrapText="1"/>
    </xf>
    <xf numFmtId="3" fontId="18" fillId="4" borderId="1" xfId="1" applyNumberFormat="1" applyFont="1" applyFill="1" applyBorder="1" applyAlignment="1">
      <alignment horizontal="right" vertical="center" wrapText="1"/>
    </xf>
    <xf numFmtId="0" fontId="18" fillId="4" borderId="0" xfId="1" applyFont="1" applyFill="1" applyAlignment="1">
      <alignment horizontal="right" vertical="center" wrapText="1"/>
    </xf>
    <xf numFmtId="2" fontId="20" fillId="0" borderId="0" xfId="2" applyNumberFormat="1" applyFont="1" applyFill="1" applyAlignment="1">
      <alignment horizontal="right" vertical="center" wrapText="1"/>
    </xf>
    <xf numFmtId="2" fontId="20" fillId="0" borderId="0" xfId="1" applyNumberFormat="1" applyFont="1" applyAlignment="1">
      <alignment horizontal="right" vertical="center" wrapText="1"/>
    </xf>
    <xf numFmtId="2" fontId="18" fillId="0" borderId="0" xfId="1" applyNumberFormat="1" applyFont="1" applyAlignment="1">
      <alignment horizontal="right" vertical="center" wrapText="1"/>
    </xf>
    <xf numFmtId="2" fontId="20" fillId="0" borderId="2" xfId="1" applyNumberFormat="1" applyFont="1" applyBorder="1" applyAlignment="1">
      <alignment horizontal="right" vertical="center" wrapText="1"/>
    </xf>
    <xf numFmtId="0" fontId="31" fillId="0" borderId="0" xfId="3" applyFont="1" applyAlignment="1">
      <alignment wrapText="1"/>
    </xf>
    <xf numFmtId="0" fontId="31" fillId="0" borderId="0" xfId="3" applyFont="1"/>
    <xf numFmtId="0" fontId="32" fillId="2" borderId="0" xfId="1" applyFont="1" applyFill="1" applyAlignment="1">
      <alignment horizontal="left" vertical="center" wrapText="1"/>
    </xf>
    <xf numFmtId="0" fontId="12" fillId="0" borderId="0" xfId="1" applyFont="1" applyAlignment="1">
      <alignment horizontal="right" vertical="center" wrapText="1"/>
    </xf>
    <xf numFmtId="0" fontId="12" fillId="5" borderId="2" xfId="1" applyFont="1" applyFill="1" applyBorder="1" applyAlignment="1">
      <alignment horizontal="left" vertical="center"/>
    </xf>
    <xf numFmtId="0" fontId="1" fillId="0" borderId="3" xfId="1" applyBorder="1"/>
    <xf numFmtId="0" fontId="12" fillId="5" borderId="3" xfId="1" applyFont="1" applyFill="1" applyBorder="1" applyAlignment="1">
      <alignment horizontal="left" vertical="center"/>
    </xf>
    <xf numFmtId="0" fontId="32" fillId="2" borderId="3" xfId="1" applyFont="1" applyFill="1" applyBorder="1" applyAlignment="1">
      <alignment vertical="center" wrapText="1"/>
    </xf>
    <xf numFmtId="0" fontId="32" fillId="2" borderId="0" xfId="1" applyFont="1" applyFill="1" applyAlignment="1">
      <alignment vertical="center" wrapText="1"/>
    </xf>
    <xf numFmtId="0" fontId="18" fillId="5" borderId="3" xfId="1" applyFont="1" applyFill="1" applyBorder="1" applyAlignment="1">
      <alignment horizontal="left" vertical="center"/>
    </xf>
    <xf numFmtId="4" fontId="31" fillId="0" borderId="0" xfId="3" applyNumberFormat="1" applyFont="1"/>
    <xf numFmtId="4" fontId="31" fillId="0" borderId="1" xfId="3" applyNumberFormat="1" applyFont="1" applyBorder="1"/>
    <xf numFmtId="0" fontId="12" fillId="3" borderId="3" xfId="1" applyFont="1" applyFill="1" applyBorder="1" applyAlignment="1">
      <alignment horizontal="left" vertical="center"/>
    </xf>
    <xf numFmtId="0" fontId="33" fillId="8" borderId="1" xfId="1" applyFont="1" applyFill="1" applyBorder="1" applyAlignment="1">
      <alignment horizontal="left" vertical="center"/>
    </xf>
    <xf numFmtId="0" fontId="33" fillId="8" borderId="0" xfId="1" applyFont="1" applyFill="1" applyAlignment="1">
      <alignment horizontal="left" vertical="center"/>
    </xf>
    <xf numFmtId="0" fontId="7" fillId="0" borderId="2" xfId="1" applyFont="1" applyBorder="1" applyAlignment="1">
      <alignment vertical="center" wrapText="1"/>
    </xf>
    <xf numFmtId="3" fontId="20" fillId="0" borderId="3" xfId="1" applyNumberFormat="1" applyFont="1" applyBorder="1" applyAlignment="1">
      <alignment horizontal="right" vertical="center" wrapText="1"/>
    </xf>
    <xf numFmtId="3" fontId="20" fillId="4" borderId="3" xfId="1" applyNumberFormat="1" applyFont="1" applyFill="1" applyBorder="1" applyAlignment="1">
      <alignment horizontal="right" vertical="center" wrapText="1"/>
    </xf>
    <xf numFmtId="0" fontId="18" fillId="9" borderId="0" xfId="1" applyFont="1" applyFill="1" applyAlignment="1">
      <alignment horizontal="left" vertical="center" wrapText="1"/>
    </xf>
    <xf numFmtId="3" fontId="18" fillId="9" borderId="0" xfId="1" applyNumberFormat="1" applyFont="1" applyFill="1" applyAlignment="1">
      <alignment horizontal="right" vertical="center" wrapText="1"/>
    </xf>
    <xf numFmtId="3" fontId="18" fillId="2" borderId="0" xfId="1" applyNumberFormat="1" applyFont="1" applyFill="1" applyAlignment="1">
      <alignment horizontal="right" vertical="center" wrapText="1"/>
    </xf>
    <xf numFmtId="0" fontId="7" fillId="0" borderId="2" xfId="1" applyFont="1" applyBorder="1" applyAlignment="1">
      <alignment horizontal="left" vertical="center" wrapText="1"/>
    </xf>
    <xf numFmtId="0" fontId="16" fillId="3" borderId="2" xfId="1" applyFont="1" applyFill="1" applyBorder="1" applyAlignment="1">
      <alignment horizontal="left" vertical="center" wrapText="1"/>
    </xf>
    <xf numFmtId="168" fontId="18" fillId="4" borderId="0" xfId="1" applyNumberFormat="1" applyFont="1" applyFill="1" applyAlignment="1">
      <alignment horizontal="right" vertical="center" wrapText="1"/>
    </xf>
    <xf numFmtId="1" fontId="18" fillId="4" borderId="0" xfId="1" applyNumberFormat="1" applyFont="1" applyFill="1" applyAlignment="1">
      <alignment horizontal="right" vertical="center" wrapText="1"/>
    </xf>
    <xf numFmtId="168" fontId="18" fillId="0" borderId="0" xfId="1" applyNumberFormat="1" applyFont="1" applyAlignment="1">
      <alignment horizontal="right" vertical="center" wrapText="1"/>
    </xf>
    <xf numFmtId="3" fontId="16" fillId="4" borderId="3" xfId="1" applyNumberFormat="1" applyFont="1" applyFill="1" applyBorder="1" applyAlignment="1">
      <alignment horizontal="righ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34" fillId="0" borderId="1" xfId="1" applyFont="1" applyBorder="1" applyAlignment="1">
      <alignment vertical="center"/>
    </xf>
    <xf numFmtId="0" fontId="12" fillId="4" borderId="4" xfId="1" applyFont="1" applyFill="1" applyBorder="1" applyAlignment="1">
      <alignment horizontal="center" vertical="center" wrapText="1"/>
    </xf>
    <xf numFmtId="0" fontId="35" fillId="0" borderId="0" xfId="1" applyFont="1"/>
    <xf numFmtId="0" fontId="34" fillId="0" borderId="2" xfId="1" applyFont="1" applyBorder="1" applyAlignment="1">
      <alignment vertical="center"/>
    </xf>
    <xf numFmtId="0" fontId="12" fillId="0" borderId="5" xfId="1" applyFont="1" applyBorder="1" applyAlignment="1">
      <alignment horizontal="center" wrapText="1"/>
    </xf>
    <xf numFmtId="0" fontId="12" fillId="0" borderId="4" xfId="1" applyFont="1" applyBorder="1" applyAlignment="1">
      <alignment horizontal="center" wrapText="1"/>
    </xf>
    <xf numFmtId="0" fontId="19" fillId="3" borderId="10" xfId="1" applyFont="1" applyFill="1" applyBorder="1" applyAlignment="1">
      <alignment horizontal="left" vertical="center"/>
    </xf>
    <xf numFmtId="169" fontId="18" fillId="0" borderId="4" xfId="1" applyNumberFormat="1" applyFont="1" applyBorder="1" applyAlignment="1">
      <alignment horizontal="right" vertical="center" wrapText="1"/>
    </xf>
    <xf numFmtId="169" fontId="18" fillId="0" borderId="3" xfId="1" applyNumberFormat="1" applyFont="1" applyBorder="1" applyAlignment="1">
      <alignment horizontal="right" vertical="center" wrapText="1"/>
    </xf>
    <xf numFmtId="0" fontId="19" fillId="3" borderId="9" xfId="1" applyFont="1" applyFill="1" applyBorder="1" applyAlignment="1">
      <alignment horizontal="left" vertical="center"/>
    </xf>
    <xf numFmtId="169" fontId="18" fillId="0" borderId="0" xfId="1" applyNumberFormat="1" applyFont="1" applyAlignment="1">
      <alignment horizontal="right" vertical="center" wrapText="1"/>
    </xf>
    <xf numFmtId="169" fontId="18" fillId="0" borderId="8" xfId="1" applyNumberFormat="1" applyFont="1" applyBorder="1" applyAlignment="1">
      <alignment horizontal="right" vertical="center" wrapText="1"/>
    </xf>
    <xf numFmtId="169" fontId="18" fillId="0" borderId="2" xfId="1" applyNumberFormat="1" applyFont="1" applyBorder="1" applyAlignment="1">
      <alignment horizontal="right" vertical="center" wrapText="1"/>
    </xf>
    <xf numFmtId="169" fontId="18" fillId="0" borderId="11" xfId="1" applyNumberFormat="1" applyFont="1" applyBorder="1" applyAlignment="1">
      <alignment horizontal="right" vertical="center" wrapText="1"/>
    </xf>
    <xf numFmtId="0" fontId="19" fillId="3" borderId="7" xfId="1" applyFont="1" applyFill="1" applyBorder="1" applyAlignment="1">
      <alignment horizontal="left" vertical="center"/>
    </xf>
    <xf numFmtId="0" fontId="16" fillId="3" borderId="10" xfId="1" applyFont="1" applyFill="1" applyBorder="1" applyAlignment="1">
      <alignment horizontal="left" vertical="center"/>
    </xf>
    <xf numFmtId="0" fontId="7" fillId="0" borderId="3" xfId="1" applyFont="1" applyBorder="1" applyAlignment="1">
      <alignment horizontal="left" vertical="center" wrapText="1"/>
    </xf>
    <xf numFmtId="0" fontId="19" fillId="3" borderId="2" xfId="1" applyFont="1" applyFill="1" applyBorder="1" applyAlignment="1">
      <alignment horizontal="left" vertical="center"/>
    </xf>
    <xf numFmtId="0" fontId="35" fillId="0" borderId="0" xfId="1" applyFont="1" applyAlignment="1">
      <alignment vertical="center"/>
    </xf>
    <xf numFmtId="0" fontId="19" fillId="3" borderId="0" xfId="1" applyFont="1" applyFill="1" applyAlignment="1">
      <alignment horizontal="left" vertical="center"/>
    </xf>
  </cellXfs>
  <cellStyles count="4">
    <cellStyle name="Dziesiętny 2" xfId="2" xr:uid="{12B24FAF-0684-43EE-998D-EFC4022A37C5}"/>
    <cellStyle name="Normalny" xfId="0" builtinId="0"/>
    <cellStyle name="Normalny 2" xfId="1" xr:uid="{F5D0A2A7-5BAF-4264-A233-E0C7034F33A7}"/>
    <cellStyle name="Normalny_04 SSF PJP 31-12-2006 AP" xfId="3" xr:uid="{A53FCB7B-C6D4-46A2-8BFC-AC019E2144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sb/AppData/Local/Microsoft/Windows/INetCache/Content.Outlook/USW6OIJC/20220427%20SF_skons2021%20-%20po%20uwagach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https://softwaremind-my.sharepoint.com/Users/Barbara%20Jamr&#243;z/AppData/Local/Microsoft/Windows/INetCache/Content.Outlook/9FYT0FUU/Akson/Befado/Befado/DO%20BADANIA%202008/DO%20BADANIA%202008/sprawozdania%20finansowe/REWIT%20-%20Spr.Fin.%20ver.%201.1%20po%20zmianach%20AP.xls?D5499A0A" TargetMode="External"/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jednostkowy/Ailleron_SA_JSF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_s"/>
      <sheetName val="RZIS_s"/>
      <sheetName val="SSCD_s"/>
      <sheetName val="CF_s"/>
      <sheetName val="ZZKW_s"/>
      <sheetName val="1-4"/>
      <sheetName val="5-6"/>
      <sheetName val="6cd"/>
      <sheetName val="7"/>
      <sheetName val="8 "/>
      <sheetName val="9 "/>
      <sheetName val="10 "/>
      <sheetName val="10cd "/>
      <sheetName val="10-12 "/>
      <sheetName val="13-14"/>
      <sheetName val="15"/>
      <sheetName val="16"/>
      <sheetName val="17"/>
      <sheetName val="18-20"/>
      <sheetName val="21-22"/>
      <sheetName val="23-25"/>
      <sheetName val="26"/>
      <sheetName val="27-28"/>
      <sheetName val="29-30"/>
      <sheetName val="31"/>
      <sheetName val="32-34"/>
      <sheetName val="35-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_j"/>
      <sheetName val="RZIS_j"/>
      <sheetName val="SSCD_j"/>
      <sheetName val="CF_j"/>
      <sheetName val="ZZKW_j"/>
      <sheetName val="1-4"/>
      <sheetName val="5-6"/>
      <sheetName val="6cd"/>
      <sheetName val="7"/>
      <sheetName val="8 "/>
      <sheetName val="9 "/>
      <sheetName val="10 "/>
      <sheetName val="10cd "/>
      <sheetName val="10-14 "/>
      <sheetName val="15-16"/>
      <sheetName val="17"/>
      <sheetName val="18"/>
      <sheetName val="19"/>
      <sheetName val="20-22"/>
      <sheetName val="23-24"/>
      <sheetName val="25-27"/>
      <sheetName val="28"/>
      <sheetName val="29-30"/>
      <sheetName val="31-32"/>
      <sheetName val="33"/>
      <sheetName val="34-36"/>
      <sheetName val="37-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C4E70-17E6-44ED-AD0F-8FDCC4F03F2B}">
  <sheetPr>
    <pageSetUpPr fitToPage="1"/>
  </sheetPr>
  <dimension ref="A1:D84"/>
  <sheetViews>
    <sheetView showGridLines="0" view="pageBreakPreview" topLeftCell="A70" zoomScale="145" zoomScaleNormal="100" zoomScaleSheetLayoutView="145" workbookViewId="0">
      <selection activeCell="F4" sqref="F4"/>
    </sheetView>
  </sheetViews>
  <sheetFormatPr defaultRowHeight="15" x14ac:dyDescent="0.25"/>
  <cols>
    <col min="1" max="1" width="50.85546875" style="12" customWidth="1"/>
    <col min="2" max="2" width="7.85546875" style="60" customWidth="1"/>
    <col min="3" max="4" width="15.85546875" style="12" customWidth="1"/>
    <col min="5" max="16384" width="9.140625" style="12"/>
  </cols>
  <sheetData>
    <row r="1" spans="1:4" s="3" customFormat="1" ht="30.6" customHeight="1" x14ac:dyDescent="0.25">
      <c r="A1" s="1" t="s">
        <v>0</v>
      </c>
      <c r="B1" s="1"/>
      <c r="C1" s="1"/>
      <c r="D1" s="1"/>
    </row>
    <row r="2" spans="1:4" s="6" customFormat="1" ht="25.35" customHeight="1" x14ac:dyDescent="0.35">
      <c r="A2" s="4" t="s">
        <v>1</v>
      </c>
      <c r="B2" s="4"/>
      <c r="C2" s="4"/>
      <c r="D2" s="4"/>
    </row>
    <row r="3" spans="1:4" s="6" customFormat="1" ht="25.35" customHeight="1" x14ac:dyDescent="0.35">
      <c r="A3" s="7" t="s">
        <v>2</v>
      </c>
      <c r="B3" s="8"/>
      <c r="C3" s="8"/>
      <c r="D3" s="8"/>
    </row>
    <row r="4" spans="1:4" s="6" customFormat="1" ht="25.35" customHeight="1" x14ac:dyDescent="0.35">
      <c r="A4" s="10"/>
      <c r="B4" s="10"/>
      <c r="C4" s="10"/>
      <c r="D4" s="10"/>
    </row>
    <row r="5" spans="1:4" ht="35.1" customHeight="1" x14ac:dyDescent="0.25">
      <c r="A5" s="11" t="s">
        <v>3</v>
      </c>
      <c r="B5" s="11"/>
      <c r="C5" s="11"/>
      <c r="D5" s="11"/>
    </row>
    <row r="6" spans="1:4" ht="16.5" x14ac:dyDescent="0.25">
      <c r="A6" s="13" t="s">
        <v>4</v>
      </c>
      <c r="B6" s="14" t="s">
        <v>5</v>
      </c>
      <c r="C6" s="15" t="s">
        <v>6</v>
      </c>
      <c r="D6" s="15"/>
    </row>
    <row r="7" spans="1:4" ht="33" x14ac:dyDescent="0.25">
      <c r="A7" s="16"/>
      <c r="B7" s="17"/>
      <c r="C7" s="18" t="s">
        <v>7</v>
      </c>
      <c r="D7" s="18" t="s">
        <v>8</v>
      </c>
    </row>
    <row r="8" spans="1:4" ht="18" x14ac:dyDescent="0.25">
      <c r="A8" s="19"/>
      <c r="B8" s="20"/>
      <c r="C8" s="21"/>
      <c r="D8" s="21"/>
    </row>
    <row r="9" spans="1:4" ht="15" customHeight="1" x14ac:dyDescent="0.25">
      <c r="A9" s="22" t="s">
        <v>9</v>
      </c>
      <c r="B9" s="23"/>
      <c r="C9" s="24">
        <f>SUM(C10:C17)</f>
        <v>94490000</v>
      </c>
      <c r="D9" s="24">
        <f>SUM(D10:D17)</f>
        <v>74121000</v>
      </c>
    </row>
    <row r="10" spans="1:4" ht="15" customHeight="1" x14ac:dyDescent="0.25">
      <c r="A10" s="25" t="s">
        <v>10</v>
      </c>
      <c r="B10" s="26">
        <v>13</v>
      </c>
      <c r="C10" s="27">
        <v>22785000</v>
      </c>
      <c r="D10" s="27">
        <v>26137000</v>
      </c>
    </row>
    <row r="11" spans="1:4" ht="15" hidden="1" customHeight="1" x14ac:dyDescent="0.25">
      <c r="A11" s="25" t="s">
        <v>11</v>
      </c>
      <c r="B11" s="28">
        <v>16</v>
      </c>
      <c r="C11" s="27"/>
      <c r="D11" s="27">
        <v>0</v>
      </c>
    </row>
    <row r="12" spans="1:4" ht="15" customHeight="1" x14ac:dyDescent="0.25">
      <c r="A12" s="25" t="s">
        <v>12</v>
      </c>
      <c r="B12" s="28">
        <v>14</v>
      </c>
      <c r="C12" s="27">
        <v>51349000</v>
      </c>
      <c r="D12" s="27">
        <v>38692000</v>
      </c>
    </row>
    <row r="13" spans="1:4" ht="15" customHeight="1" x14ac:dyDescent="0.25">
      <c r="A13" s="25" t="s">
        <v>13</v>
      </c>
      <c r="B13" s="28">
        <v>15</v>
      </c>
      <c r="C13" s="27">
        <v>17965000</v>
      </c>
      <c r="D13" s="27">
        <v>6146000</v>
      </c>
    </row>
    <row r="14" spans="1:4" ht="15" customHeight="1" x14ac:dyDescent="0.25">
      <c r="A14" s="25" t="s">
        <v>14</v>
      </c>
      <c r="B14" s="28">
        <v>16</v>
      </c>
      <c r="C14" s="27">
        <v>1428000</v>
      </c>
      <c r="D14" s="27">
        <v>106000</v>
      </c>
    </row>
    <row r="15" spans="1:4" ht="15" customHeight="1" x14ac:dyDescent="0.25">
      <c r="A15" s="25" t="s">
        <v>15</v>
      </c>
      <c r="B15" s="28">
        <v>10</v>
      </c>
      <c r="C15" s="27">
        <v>693000</v>
      </c>
      <c r="D15" s="27">
        <v>2546000</v>
      </c>
    </row>
    <row r="16" spans="1:4" ht="15" hidden="1" customHeight="1" x14ac:dyDescent="0.25">
      <c r="A16" s="25" t="s">
        <v>16</v>
      </c>
      <c r="B16" s="30">
        <v>22</v>
      </c>
      <c r="C16" s="27"/>
      <c r="D16" s="27">
        <v>0</v>
      </c>
    </row>
    <row r="17" spans="1:4" ht="15" customHeight="1" x14ac:dyDescent="0.25">
      <c r="A17" s="25" t="s">
        <v>17</v>
      </c>
      <c r="B17" s="30">
        <v>18</v>
      </c>
      <c r="C17" s="27">
        <v>270000</v>
      </c>
      <c r="D17" s="27">
        <v>494000</v>
      </c>
    </row>
    <row r="18" spans="1:4" ht="15" customHeight="1" x14ac:dyDescent="0.25">
      <c r="A18" s="22" t="s">
        <v>18</v>
      </c>
      <c r="B18" s="23"/>
      <c r="C18" s="24">
        <f>SUM(C19:C28)</f>
        <v>180626000</v>
      </c>
      <c r="D18" s="24">
        <f>SUM(D19:D28)</f>
        <v>88731000</v>
      </c>
    </row>
    <row r="19" spans="1:4" ht="15" customHeight="1" x14ac:dyDescent="0.25">
      <c r="A19" s="25" t="s">
        <v>19</v>
      </c>
      <c r="B19" s="30">
        <v>19</v>
      </c>
      <c r="C19" s="27">
        <v>1041000</v>
      </c>
      <c r="D19" s="27">
        <v>5374000</v>
      </c>
    </row>
    <row r="20" spans="1:4" ht="15" customHeight="1" x14ac:dyDescent="0.25">
      <c r="A20" s="25" t="s">
        <v>20</v>
      </c>
      <c r="B20" s="28">
        <v>20</v>
      </c>
      <c r="C20" s="31">
        <v>58440000</v>
      </c>
      <c r="D20" s="31">
        <f>44839000-D21</f>
        <v>44802000</v>
      </c>
    </row>
    <row r="21" spans="1:4" ht="15" customHeight="1" x14ac:dyDescent="0.25">
      <c r="A21" s="25" t="s">
        <v>21</v>
      </c>
      <c r="B21" s="28"/>
      <c r="C21" s="31">
        <v>910000</v>
      </c>
      <c r="D21" s="31">
        <f>30000+3000+4000</f>
        <v>37000</v>
      </c>
    </row>
    <row r="22" spans="1:4" ht="15" customHeight="1" x14ac:dyDescent="0.25">
      <c r="A22" s="25" t="s">
        <v>22</v>
      </c>
      <c r="B22" s="28" t="s">
        <v>23</v>
      </c>
      <c r="C22" s="27">
        <v>4494000</v>
      </c>
      <c r="D22" s="27">
        <v>10309000</v>
      </c>
    </row>
    <row r="23" spans="1:4" ht="15.95" customHeight="1" x14ac:dyDescent="0.25">
      <c r="A23" s="25" t="s">
        <v>16</v>
      </c>
      <c r="B23" s="30"/>
      <c r="C23" s="27">
        <v>40000</v>
      </c>
      <c r="D23" s="27">
        <v>1830000</v>
      </c>
    </row>
    <row r="24" spans="1:4" ht="15.95" customHeight="1" x14ac:dyDescent="0.25">
      <c r="A24" s="25" t="s">
        <v>24</v>
      </c>
      <c r="B24" s="30"/>
      <c r="C24" s="27">
        <v>736000</v>
      </c>
      <c r="D24" s="27">
        <v>0</v>
      </c>
    </row>
    <row r="25" spans="1:4" ht="15" customHeight="1" x14ac:dyDescent="0.25">
      <c r="A25" s="25" t="s">
        <v>25</v>
      </c>
      <c r="B25" s="30">
        <v>10</v>
      </c>
      <c r="C25" s="27">
        <v>3626000</v>
      </c>
      <c r="D25" s="27">
        <v>2666000</v>
      </c>
    </row>
    <row r="26" spans="1:4" ht="15" hidden="1" customHeight="1" x14ac:dyDescent="0.25">
      <c r="A26" s="25" t="s">
        <v>26</v>
      </c>
      <c r="B26" s="30">
        <v>23</v>
      </c>
      <c r="C26" s="27">
        <v>0</v>
      </c>
      <c r="D26" s="27">
        <v>0</v>
      </c>
    </row>
    <row r="27" spans="1:4" ht="18" customHeight="1" x14ac:dyDescent="0.25">
      <c r="A27" s="25" t="s">
        <v>27</v>
      </c>
      <c r="B27" s="30">
        <v>34</v>
      </c>
      <c r="C27" s="27">
        <v>111339000</v>
      </c>
      <c r="D27" s="27">
        <v>23713000</v>
      </c>
    </row>
    <row r="28" spans="1:4" ht="15" hidden="1" customHeight="1" x14ac:dyDescent="0.25">
      <c r="A28" s="25" t="s">
        <v>28</v>
      </c>
      <c r="B28" s="30">
        <v>12</v>
      </c>
      <c r="C28" s="27">
        <v>0</v>
      </c>
      <c r="D28" s="27">
        <v>0</v>
      </c>
    </row>
    <row r="29" spans="1:4" ht="15" customHeight="1" x14ac:dyDescent="0.25">
      <c r="A29" s="32" t="s">
        <v>29</v>
      </c>
      <c r="B29" s="33"/>
      <c r="C29" s="34">
        <f>C9+C18</f>
        <v>275116000</v>
      </c>
      <c r="D29" s="34">
        <f>D9+D18</f>
        <v>162852000</v>
      </c>
    </row>
    <row r="30" spans="1:4" ht="15" customHeight="1" x14ac:dyDescent="0.25">
      <c r="A30" s="36"/>
      <c r="B30" s="37"/>
      <c r="C30" s="38"/>
      <c r="D30" s="38"/>
    </row>
    <row r="31" spans="1:4" ht="35.1" customHeight="1" x14ac:dyDescent="0.25">
      <c r="A31" s="39" t="s">
        <v>30</v>
      </c>
      <c r="B31" s="37"/>
      <c r="C31" s="38"/>
      <c r="D31" s="38"/>
    </row>
    <row r="32" spans="1:4" ht="16.5" x14ac:dyDescent="0.25">
      <c r="A32" s="13" t="s">
        <v>31</v>
      </c>
      <c r="B32" s="14" t="s">
        <v>5</v>
      </c>
      <c r="C32" s="15" t="s">
        <v>6</v>
      </c>
      <c r="D32" s="15"/>
    </row>
    <row r="33" spans="1:4" ht="33" x14ac:dyDescent="0.25">
      <c r="A33" s="16"/>
      <c r="B33" s="17"/>
      <c r="C33" s="18" t="str">
        <f>C7</f>
        <v>Stan na 31/12/2021</v>
      </c>
      <c r="D33" s="18" t="str">
        <f>D7</f>
        <v>Stan na 31/12/2020</v>
      </c>
    </row>
    <row r="34" spans="1:4" x14ac:dyDescent="0.25">
      <c r="A34" s="40" t="s">
        <v>32</v>
      </c>
      <c r="B34" s="41"/>
      <c r="C34" s="42">
        <f>C35+C43</f>
        <v>215456000</v>
      </c>
      <c r="D34" s="42">
        <f>D35+D43</f>
        <v>95106000</v>
      </c>
    </row>
    <row r="35" spans="1:4" x14ac:dyDescent="0.25">
      <c r="A35" s="40" t="s">
        <v>33</v>
      </c>
      <c r="B35" s="41"/>
      <c r="C35" s="24">
        <f>SUM(C36:C42)</f>
        <v>133000000</v>
      </c>
      <c r="D35" s="24">
        <f>SUM(D36:D43)</f>
        <v>95106000</v>
      </c>
    </row>
    <row r="36" spans="1:4" x14ac:dyDescent="0.25">
      <c r="A36" s="44" t="s">
        <v>34</v>
      </c>
      <c r="B36" s="45">
        <v>22</v>
      </c>
      <c r="C36" s="27">
        <v>3707000</v>
      </c>
      <c r="D36" s="27">
        <v>3707000</v>
      </c>
    </row>
    <row r="37" spans="1:4" x14ac:dyDescent="0.25">
      <c r="A37" s="44" t="s">
        <v>35</v>
      </c>
      <c r="B37" s="45">
        <v>22</v>
      </c>
      <c r="C37" s="27">
        <v>38412000</v>
      </c>
      <c r="D37" s="27">
        <v>38412000</v>
      </c>
    </row>
    <row r="38" spans="1:4" x14ac:dyDescent="0.25">
      <c r="A38" s="44" t="s">
        <v>36</v>
      </c>
      <c r="B38" s="45"/>
      <c r="C38" s="27">
        <v>257000</v>
      </c>
      <c r="D38" s="27">
        <v>0</v>
      </c>
    </row>
    <row r="39" spans="1:4" x14ac:dyDescent="0.25">
      <c r="A39" s="44" t="s">
        <v>37</v>
      </c>
      <c r="B39" s="45">
        <v>23</v>
      </c>
      <c r="C39" s="27">
        <v>90691000</v>
      </c>
      <c r="D39" s="27">
        <v>52937000</v>
      </c>
    </row>
    <row r="40" spans="1:4" hidden="1" x14ac:dyDescent="0.25">
      <c r="A40" s="44" t="s">
        <v>38</v>
      </c>
      <c r="B40" s="45"/>
      <c r="C40" s="27"/>
      <c r="D40" s="27">
        <v>0</v>
      </c>
    </row>
    <row r="41" spans="1:4" ht="28.5" hidden="1" x14ac:dyDescent="0.25">
      <c r="A41" s="46" t="s">
        <v>39</v>
      </c>
      <c r="B41" s="45"/>
      <c r="C41" s="27"/>
      <c r="D41" s="27">
        <v>0</v>
      </c>
    </row>
    <row r="42" spans="1:4" x14ac:dyDescent="0.25">
      <c r="A42" s="46" t="s">
        <v>40</v>
      </c>
      <c r="B42" s="45"/>
      <c r="C42" s="27">
        <v>-67000</v>
      </c>
      <c r="D42" s="27">
        <v>50000</v>
      </c>
    </row>
    <row r="43" spans="1:4" ht="21.6" customHeight="1" x14ac:dyDescent="0.25">
      <c r="A43" s="40" t="s">
        <v>41</v>
      </c>
      <c r="B43" s="41"/>
      <c r="C43" s="24">
        <v>82456000</v>
      </c>
      <c r="D43" s="24">
        <v>0</v>
      </c>
    </row>
    <row r="44" spans="1:4" ht="16.5" x14ac:dyDescent="0.25">
      <c r="A44" s="47" t="s">
        <v>42</v>
      </c>
      <c r="B44" s="48"/>
      <c r="C44" s="24">
        <f>C45+C56</f>
        <v>59660000</v>
      </c>
      <c r="D44" s="24">
        <f>D45+D56</f>
        <v>67746000</v>
      </c>
    </row>
    <row r="45" spans="1:4" ht="16.5" x14ac:dyDescent="0.25">
      <c r="A45" s="49" t="s">
        <v>43</v>
      </c>
      <c r="B45" s="50"/>
      <c r="C45" s="51">
        <f>SUM(C47:C55)</f>
        <v>18519000</v>
      </c>
      <c r="D45" s="51">
        <f>SUM(D47:D55)</f>
        <v>23615000</v>
      </c>
    </row>
    <row r="46" spans="1:4" ht="16.5" hidden="1" x14ac:dyDescent="0.25">
      <c r="A46" s="52" t="s">
        <v>44</v>
      </c>
      <c r="B46" s="53"/>
      <c r="C46" s="27"/>
      <c r="D46" s="27"/>
    </row>
    <row r="47" spans="1:4" x14ac:dyDescent="0.25">
      <c r="A47" s="52" t="s">
        <v>45</v>
      </c>
      <c r="B47" s="54" t="s">
        <v>46</v>
      </c>
      <c r="C47" s="31">
        <v>17565000</v>
      </c>
      <c r="D47" s="31">
        <v>21065000</v>
      </c>
    </row>
    <row r="48" spans="1:4" hidden="1" x14ac:dyDescent="0.25">
      <c r="A48" s="52" t="s">
        <v>47</v>
      </c>
      <c r="B48" s="55">
        <v>24</v>
      </c>
      <c r="C48" s="31"/>
      <c r="D48" s="31">
        <v>0</v>
      </c>
    </row>
    <row r="49" spans="1:4" hidden="1" x14ac:dyDescent="0.25">
      <c r="A49" s="52" t="s">
        <v>48</v>
      </c>
      <c r="B49" s="55">
        <v>36</v>
      </c>
      <c r="C49" s="31"/>
      <c r="D49" s="31">
        <v>0</v>
      </c>
    </row>
    <row r="50" spans="1:4" ht="15" customHeight="1" x14ac:dyDescent="0.25">
      <c r="A50" s="52" t="s">
        <v>49</v>
      </c>
      <c r="B50" s="55">
        <v>26</v>
      </c>
      <c r="C50" s="31">
        <v>144000</v>
      </c>
      <c r="D50" s="31">
        <v>126000</v>
      </c>
    </row>
    <row r="51" spans="1:4" ht="15" customHeight="1" x14ac:dyDescent="0.25">
      <c r="A51" s="52" t="s">
        <v>50</v>
      </c>
      <c r="B51" s="55"/>
      <c r="C51" s="31">
        <v>21000</v>
      </c>
      <c r="D51" s="31">
        <v>21000</v>
      </c>
    </row>
    <row r="52" spans="1:4" hidden="1" x14ac:dyDescent="0.25">
      <c r="A52" s="52" t="s">
        <v>51</v>
      </c>
      <c r="B52" s="55"/>
      <c r="C52" s="27"/>
      <c r="D52" s="27">
        <v>0</v>
      </c>
    </row>
    <row r="53" spans="1:4" ht="15" customHeight="1" x14ac:dyDescent="0.25">
      <c r="A53" s="52" t="s">
        <v>52</v>
      </c>
      <c r="B53" s="55">
        <v>10</v>
      </c>
      <c r="C53" s="27">
        <v>789000</v>
      </c>
      <c r="D53" s="27">
        <v>2403000</v>
      </c>
    </row>
    <row r="54" spans="1:4" hidden="1" x14ac:dyDescent="0.25">
      <c r="A54" s="52" t="s">
        <v>53</v>
      </c>
      <c r="B54" s="55">
        <v>35</v>
      </c>
      <c r="C54" s="27">
        <v>0</v>
      </c>
      <c r="D54" s="56">
        <v>0</v>
      </c>
    </row>
    <row r="55" spans="1:4" hidden="1" x14ac:dyDescent="0.25">
      <c r="A55" s="52" t="s">
        <v>54</v>
      </c>
      <c r="B55" s="55"/>
      <c r="C55" s="27">
        <v>0</v>
      </c>
      <c r="D55" s="56">
        <v>0</v>
      </c>
    </row>
    <row r="56" spans="1:4" ht="16.5" x14ac:dyDescent="0.25">
      <c r="A56" s="57" t="s">
        <v>55</v>
      </c>
      <c r="B56" s="58"/>
      <c r="C56" s="24">
        <f>SUM(C57:C69)</f>
        <v>41141000</v>
      </c>
      <c r="D56" s="24">
        <f>SUM(D57:D69)</f>
        <v>44131000</v>
      </c>
    </row>
    <row r="57" spans="1:4" ht="15" customHeight="1" x14ac:dyDescent="0.25">
      <c r="A57" s="52" t="s">
        <v>56</v>
      </c>
      <c r="B57" s="54">
        <v>28</v>
      </c>
      <c r="C57" s="31">
        <f>19236000+16000</f>
        <v>19252000</v>
      </c>
      <c r="D57" s="31">
        <v>14846000</v>
      </c>
    </row>
    <row r="58" spans="1:4" hidden="1" x14ac:dyDescent="0.25">
      <c r="A58" s="52" t="s">
        <v>57</v>
      </c>
      <c r="B58" s="55">
        <v>6.21</v>
      </c>
      <c r="C58" s="31">
        <v>0</v>
      </c>
      <c r="D58" s="31">
        <v>0</v>
      </c>
    </row>
    <row r="59" spans="1:4" ht="15" customHeight="1" x14ac:dyDescent="0.25">
      <c r="A59" s="52" t="s">
        <v>58</v>
      </c>
      <c r="B59" s="55">
        <v>24</v>
      </c>
      <c r="C59" s="31">
        <v>56000</v>
      </c>
      <c r="D59" s="31">
        <v>11434000</v>
      </c>
    </row>
    <row r="60" spans="1:4" hidden="1" x14ac:dyDescent="0.25">
      <c r="A60" s="52" t="s">
        <v>59</v>
      </c>
      <c r="B60" s="55"/>
      <c r="C60" s="31"/>
      <c r="D60" s="31"/>
    </row>
    <row r="61" spans="1:4" x14ac:dyDescent="0.25">
      <c r="A61" s="52" t="s">
        <v>60</v>
      </c>
      <c r="B61" s="55">
        <v>25</v>
      </c>
      <c r="C61" s="31">
        <f>4635000-16000</f>
        <v>4619000</v>
      </c>
      <c r="D61" s="31">
        <v>2637000</v>
      </c>
    </row>
    <row r="62" spans="1:4" ht="7.5" hidden="1" customHeight="1" x14ac:dyDescent="0.25">
      <c r="A62" s="52" t="s">
        <v>61</v>
      </c>
      <c r="B62" s="55">
        <v>33</v>
      </c>
      <c r="C62" s="31"/>
      <c r="D62" s="31">
        <v>0</v>
      </c>
    </row>
    <row r="63" spans="1:4" ht="15" customHeight="1" x14ac:dyDescent="0.25">
      <c r="A63" s="52" t="s">
        <v>62</v>
      </c>
      <c r="B63" s="55">
        <v>10</v>
      </c>
      <c r="C63" s="31">
        <v>2090000</v>
      </c>
      <c r="D63" s="31">
        <v>2107000</v>
      </c>
    </row>
    <row r="64" spans="1:4" ht="15" customHeight="1" x14ac:dyDescent="0.25">
      <c r="A64" s="52" t="s">
        <v>63</v>
      </c>
      <c r="B64" s="54">
        <v>10</v>
      </c>
      <c r="C64" s="31">
        <v>3287000</v>
      </c>
      <c r="D64" s="31">
        <v>4040000</v>
      </c>
    </row>
    <row r="65" spans="1:4" ht="15" customHeight="1" x14ac:dyDescent="0.25">
      <c r="A65" s="52" t="s">
        <v>64</v>
      </c>
      <c r="B65" s="45">
        <v>26</v>
      </c>
      <c r="C65" s="31">
        <v>1299000</v>
      </c>
      <c r="D65" s="31">
        <v>1765000</v>
      </c>
    </row>
    <row r="66" spans="1:4" ht="15" customHeight="1" x14ac:dyDescent="0.25">
      <c r="A66" s="52" t="s">
        <v>65</v>
      </c>
      <c r="B66" s="45">
        <v>26</v>
      </c>
      <c r="C66" s="27">
        <v>1067000</v>
      </c>
      <c r="D66" s="27">
        <v>0</v>
      </c>
    </row>
    <row r="67" spans="1:4" ht="15" customHeight="1" x14ac:dyDescent="0.25">
      <c r="A67" s="52" t="s">
        <v>54</v>
      </c>
      <c r="B67" s="55">
        <v>30</v>
      </c>
      <c r="C67" s="27">
        <v>2336000</v>
      </c>
      <c r="D67" s="27">
        <v>876000</v>
      </c>
    </row>
    <row r="68" spans="1:4" ht="15" customHeight="1" x14ac:dyDescent="0.25">
      <c r="A68" s="59" t="s">
        <v>66</v>
      </c>
      <c r="B68" s="55">
        <v>27</v>
      </c>
      <c r="C68" s="27">
        <v>7135000</v>
      </c>
      <c r="D68" s="27">
        <v>6426000</v>
      </c>
    </row>
    <row r="69" spans="1:4" ht="28.5" hidden="1" x14ac:dyDescent="0.25">
      <c r="A69" s="59" t="s">
        <v>67</v>
      </c>
      <c r="B69" s="55">
        <v>12</v>
      </c>
      <c r="C69" s="27">
        <v>0</v>
      </c>
      <c r="D69" s="56">
        <v>0</v>
      </c>
    </row>
    <row r="70" spans="1:4" x14ac:dyDescent="0.25">
      <c r="A70" s="32" t="s">
        <v>68</v>
      </c>
      <c r="B70" s="33"/>
      <c r="C70" s="34">
        <f>C35+C44+C43</f>
        <v>275116000</v>
      </c>
      <c r="D70" s="34">
        <f>D35+D44</f>
        <v>162852000</v>
      </c>
    </row>
    <row r="83" spans="3:4" x14ac:dyDescent="0.25">
      <c r="C83" s="35"/>
    </row>
    <row r="84" spans="3:4" x14ac:dyDescent="0.25">
      <c r="C84" s="62"/>
      <c r="D84" s="62"/>
    </row>
  </sheetData>
  <mergeCells count="10">
    <mergeCell ref="A32:A33"/>
    <mergeCell ref="B32:B33"/>
    <mergeCell ref="C32:D32"/>
    <mergeCell ref="A1:D1"/>
    <mergeCell ref="A2:D2"/>
    <mergeCell ref="A3:D3"/>
    <mergeCell ref="A5:D5"/>
    <mergeCell ref="A6:A7"/>
    <mergeCell ref="B6:B7"/>
    <mergeCell ref="C6:D6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Light,Regular"&amp;8&amp;KE73E2ARoczne skonsolidowane sprawozdanie finansowe Grupy Ailleron SA za okres od 1 stycznia 2021 r. do 31 grudnia 2021 r.
(wszystkie kwoty podano w tys. PLN, o ile nie wskazano inaczej)</oddHeader>
    <oddFooter>&amp;C&amp;P</oddFooter>
  </headerFooter>
  <rowBreaks count="1" manualBreakCount="1">
    <brk id="3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79F0E-392F-4FF0-BA57-6344F51E8788}">
  <sheetPr>
    <pageSetUpPr fitToPage="1"/>
  </sheetPr>
  <dimension ref="A1:K55"/>
  <sheetViews>
    <sheetView showGridLines="0" view="pageBreakPreview" topLeftCell="A36" zoomScale="120" zoomScaleNormal="100" zoomScaleSheetLayoutView="120" workbookViewId="0">
      <selection activeCell="A60" sqref="A60:XFD60"/>
    </sheetView>
  </sheetViews>
  <sheetFormatPr defaultRowHeight="15" x14ac:dyDescent="0.25"/>
  <cols>
    <col min="1" max="1" width="50.85546875" style="12" customWidth="1"/>
    <col min="2" max="2" width="7.85546875" style="12" customWidth="1"/>
    <col min="3" max="4" width="15.85546875" style="12" customWidth="1"/>
    <col min="5" max="16384" width="9.140625" style="12"/>
  </cols>
  <sheetData>
    <row r="1" spans="1:11" s="64" customFormat="1" ht="35.1" customHeight="1" x14ac:dyDescent="0.2">
      <c r="A1" s="63" t="s">
        <v>69</v>
      </c>
      <c r="B1" s="63"/>
      <c r="C1" s="63"/>
      <c r="D1" s="63"/>
    </row>
    <row r="2" spans="1:11" ht="12.75" customHeight="1" x14ac:dyDescent="0.25">
      <c r="A2" s="65" t="s">
        <v>70</v>
      </c>
      <c r="B2" s="14" t="s">
        <v>5</v>
      </c>
      <c r="C2" s="66" t="s">
        <v>71</v>
      </c>
      <c r="D2" s="66"/>
    </row>
    <row r="3" spans="1:11" ht="39.75" customHeight="1" x14ac:dyDescent="0.25">
      <c r="A3" s="65"/>
      <c r="B3" s="17"/>
      <c r="C3" s="67" t="s">
        <v>72</v>
      </c>
      <c r="D3" s="67" t="s">
        <v>73</v>
      </c>
    </row>
    <row r="4" spans="1:11" x14ac:dyDescent="0.25">
      <c r="A4" s="68" t="s">
        <v>74</v>
      </c>
      <c r="B4" s="68"/>
      <c r="C4" s="69"/>
      <c r="D4" s="70"/>
    </row>
    <row r="5" spans="1:11" x14ac:dyDescent="0.25">
      <c r="A5" s="71" t="s">
        <v>75</v>
      </c>
      <c r="B5" s="72" t="s">
        <v>76</v>
      </c>
      <c r="C5" s="73">
        <f>SUM(C6:C8)</f>
        <v>216832000</v>
      </c>
      <c r="D5" s="73">
        <f>SUM(D6:D8)</f>
        <v>156204000</v>
      </c>
      <c r="G5" s="43"/>
    </row>
    <row r="6" spans="1:11" hidden="1" x14ac:dyDescent="0.25">
      <c r="A6" s="74" t="s">
        <v>77</v>
      </c>
      <c r="B6" s="74"/>
      <c r="C6" s="27">
        <v>0</v>
      </c>
      <c r="D6" s="27">
        <v>0</v>
      </c>
    </row>
    <row r="7" spans="1:11" hidden="1" x14ac:dyDescent="0.25">
      <c r="A7" s="74" t="s">
        <v>78</v>
      </c>
      <c r="B7" s="74"/>
      <c r="C7" s="75">
        <v>201305000</v>
      </c>
      <c r="D7" s="75">
        <v>148506000</v>
      </c>
    </row>
    <row r="8" spans="1:11" hidden="1" x14ac:dyDescent="0.25">
      <c r="A8" s="74" t="s">
        <v>79</v>
      </c>
      <c r="B8" s="74"/>
      <c r="C8" s="75">
        <v>15527000</v>
      </c>
      <c r="D8" s="75">
        <v>7698000</v>
      </c>
    </row>
    <row r="9" spans="1:11" ht="25.5" x14ac:dyDescent="0.25">
      <c r="A9" s="76" t="s">
        <v>80</v>
      </c>
      <c r="B9" s="77"/>
      <c r="C9" s="73">
        <f>SUM(C10:C12)</f>
        <v>146431000</v>
      </c>
      <c r="D9" s="73">
        <f>SUM(D10:D12)</f>
        <v>108417000</v>
      </c>
      <c r="K9" s="78"/>
    </row>
    <row r="10" spans="1:11" hidden="1" x14ac:dyDescent="0.25">
      <c r="A10" s="74" t="s">
        <v>81</v>
      </c>
      <c r="B10" s="74"/>
      <c r="C10" s="27">
        <v>0</v>
      </c>
      <c r="D10" s="27">
        <v>0</v>
      </c>
    </row>
    <row r="11" spans="1:11" hidden="1" x14ac:dyDescent="0.25">
      <c r="A11" s="74" t="s">
        <v>82</v>
      </c>
      <c r="B11" s="74"/>
      <c r="C11" s="79">
        <v>132209000</v>
      </c>
      <c r="D11" s="79">
        <v>101531000</v>
      </c>
      <c r="F11" s="80"/>
    </row>
    <row r="12" spans="1:11" hidden="1" x14ac:dyDescent="0.25">
      <c r="A12" s="74" t="s">
        <v>83</v>
      </c>
      <c r="B12" s="74"/>
      <c r="C12" s="79">
        <v>14222000</v>
      </c>
      <c r="D12" s="79">
        <v>6886000</v>
      </c>
    </row>
    <row r="13" spans="1:11" x14ac:dyDescent="0.25">
      <c r="A13" s="71" t="s">
        <v>84</v>
      </c>
      <c r="B13" s="71"/>
      <c r="C13" s="73">
        <f>C5-C9</f>
        <v>70401000</v>
      </c>
      <c r="D13" s="73">
        <f>D5-D9</f>
        <v>47787000</v>
      </c>
    </row>
    <row r="14" spans="1:11" x14ac:dyDescent="0.25">
      <c r="A14" s="74" t="s">
        <v>85</v>
      </c>
      <c r="B14" s="74"/>
      <c r="C14" s="75">
        <v>21084000</v>
      </c>
      <c r="D14" s="75">
        <v>15674000</v>
      </c>
    </row>
    <row r="15" spans="1:11" x14ac:dyDescent="0.25">
      <c r="A15" s="74" t="s">
        <v>86</v>
      </c>
      <c r="B15" s="74"/>
      <c r="C15" s="75">
        <v>21860000</v>
      </c>
      <c r="D15" s="75">
        <v>16252000</v>
      </c>
    </row>
    <row r="16" spans="1:11" x14ac:dyDescent="0.25">
      <c r="A16" s="74" t="s">
        <v>87</v>
      </c>
      <c r="B16" s="81">
        <v>9</v>
      </c>
      <c r="C16" s="75">
        <v>82000</v>
      </c>
      <c r="D16" s="75">
        <v>69000</v>
      </c>
      <c r="F16" s="35"/>
    </row>
    <row r="17" spans="1:8" x14ac:dyDescent="0.25">
      <c r="A17" s="74" t="s">
        <v>88</v>
      </c>
      <c r="B17" s="81">
        <v>9</v>
      </c>
      <c r="C17" s="75">
        <v>115000</v>
      </c>
      <c r="D17" s="75">
        <v>410000</v>
      </c>
    </row>
    <row r="18" spans="1:8" x14ac:dyDescent="0.25">
      <c r="A18" s="71" t="s">
        <v>89</v>
      </c>
      <c r="B18" s="72"/>
      <c r="C18" s="73">
        <f>C13-C14-C15+C16-C17</f>
        <v>27424000</v>
      </c>
      <c r="D18" s="73">
        <f>D13-D14-D15+D16-D17</f>
        <v>15520000</v>
      </c>
      <c r="E18" s="80"/>
      <c r="F18" s="80"/>
      <c r="G18" s="82"/>
      <c r="H18" s="80"/>
    </row>
    <row r="19" spans="1:8" x14ac:dyDescent="0.25">
      <c r="A19" s="74" t="s">
        <v>90</v>
      </c>
      <c r="B19" s="81">
        <v>7</v>
      </c>
      <c r="C19" s="75">
        <v>450000</v>
      </c>
      <c r="D19" s="75">
        <v>240000</v>
      </c>
    </row>
    <row r="20" spans="1:8" x14ac:dyDescent="0.25">
      <c r="A20" s="74" t="s">
        <v>91</v>
      </c>
      <c r="B20" s="81">
        <v>8</v>
      </c>
      <c r="C20" s="75">
        <v>2278000</v>
      </c>
      <c r="D20" s="75">
        <v>2236000</v>
      </c>
    </row>
    <row r="21" spans="1:8" hidden="1" x14ac:dyDescent="0.25">
      <c r="A21" s="74" t="s">
        <v>92</v>
      </c>
      <c r="B21" s="81"/>
      <c r="C21" s="27">
        <v>0</v>
      </c>
      <c r="D21" s="27">
        <v>0</v>
      </c>
    </row>
    <row r="22" spans="1:8" hidden="1" x14ac:dyDescent="0.25">
      <c r="A22" s="74" t="s">
        <v>93</v>
      </c>
      <c r="B22" s="81"/>
      <c r="C22" s="27">
        <v>0</v>
      </c>
      <c r="D22" s="27">
        <v>0</v>
      </c>
    </row>
    <row r="23" spans="1:8" x14ac:dyDescent="0.25">
      <c r="A23" s="77" t="s">
        <v>94</v>
      </c>
      <c r="B23" s="83"/>
      <c r="C23" s="73">
        <f>C18+C19-C20</f>
        <v>25596000</v>
      </c>
      <c r="D23" s="73">
        <f>D18+D19-D20</f>
        <v>13524000</v>
      </c>
    </row>
    <row r="24" spans="1:8" x14ac:dyDescent="0.25">
      <c r="A24" s="74"/>
      <c r="B24" s="81"/>
      <c r="C24" s="75"/>
      <c r="D24" s="75"/>
    </row>
    <row r="25" spans="1:8" x14ac:dyDescent="0.25">
      <c r="A25" s="77" t="s">
        <v>95</v>
      </c>
      <c r="B25" s="83">
        <v>10</v>
      </c>
      <c r="C25" s="73">
        <f>SUM(C26:C27)</f>
        <v>8532000</v>
      </c>
      <c r="D25" s="73">
        <f>SUM(D26:D27)</f>
        <v>4093000</v>
      </c>
    </row>
    <row r="26" spans="1:8" hidden="1" x14ac:dyDescent="0.25">
      <c r="A26" s="74" t="s">
        <v>96</v>
      </c>
      <c r="B26" s="74"/>
      <c r="C26" s="75">
        <v>8317000</v>
      </c>
      <c r="D26" s="75">
        <v>5414000</v>
      </c>
    </row>
    <row r="27" spans="1:8" hidden="1" x14ac:dyDescent="0.25">
      <c r="A27" s="74" t="s">
        <v>97</v>
      </c>
      <c r="B27" s="74"/>
      <c r="C27" s="75">
        <f>374000-159000</f>
        <v>215000</v>
      </c>
      <c r="D27" s="75">
        <v>-1321000</v>
      </c>
    </row>
    <row r="28" spans="1:8" x14ac:dyDescent="0.25">
      <c r="A28" s="77" t="s">
        <v>98</v>
      </c>
      <c r="B28" s="84">
        <v>12</v>
      </c>
      <c r="C28" s="73">
        <f>C23-C25</f>
        <v>17064000</v>
      </c>
      <c r="D28" s="73">
        <f>D23-D25</f>
        <v>9431000</v>
      </c>
    </row>
    <row r="29" spans="1:8" x14ac:dyDescent="0.25">
      <c r="A29" s="85" t="s">
        <v>99</v>
      </c>
      <c r="B29" s="84"/>
      <c r="C29" s="73"/>
      <c r="D29" s="73"/>
    </row>
    <row r="30" spans="1:8" x14ac:dyDescent="0.25">
      <c r="A30" s="77" t="s">
        <v>100</v>
      </c>
      <c r="B30" s="84"/>
      <c r="C30" s="27">
        <v>0</v>
      </c>
      <c r="D30" s="27">
        <v>0</v>
      </c>
    </row>
    <row r="31" spans="1:8" hidden="1" x14ac:dyDescent="0.25">
      <c r="A31" s="77" t="s">
        <v>40</v>
      </c>
      <c r="B31" s="84"/>
      <c r="C31" s="24">
        <v>0</v>
      </c>
      <c r="D31" s="24">
        <v>0</v>
      </c>
    </row>
    <row r="32" spans="1:8" hidden="1" x14ac:dyDescent="0.25">
      <c r="A32" s="85" t="s">
        <v>101</v>
      </c>
      <c r="B32" s="84"/>
      <c r="C32" s="24">
        <f>C28-C31</f>
        <v>17064000</v>
      </c>
      <c r="D32" s="24">
        <f>D28-D31</f>
        <v>9431000</v>
      </c>
    </row>
    <row r="33" spans="1:7" x14ac:dyDescent="0.25">
      <c r="A33" s="32" t="s">
        <v>102</v>
      </c>
      <c r="B33" s="32"/>
      <c r="C33" s="86">
        <f>C28</f>
        <v>17064000</v>
      </c>
      <c r="D33" s="86">
        <f>D28</f>
        <v>9431000</v>
      </c>
      <c r="E33" s="43"/>
      <c r="F33" s="43"/>
    </row>
    <row r="34" spans="1:7" x14ac:dyDescent="0.25">
      <c r="A34" s="87"/>
      <c r="B34" s="87"/>
      <c r="C34" s="88"/>
      <c r="D34" s="88"/>
    </row>
    <row r="35" spans="1:7" s="64" customFormat="1" ht="35.1" customHeight="1" x14ac:dyDescent="0.2">
      <c r="A35" s="11" t="s">
        <v>103</v>
      </c>
      <c r="B35" s="11"/>
      <c r="C35" s="11"/>
      <c r="D35" s="11"/>
    </row>
    <row r="36" spans="1:7" x14ac:dyDescent="0.25">
      <c r="A36" s="65" t="s">
        <v>70</v>
      </c>
      <c r="B36" s="89" t="s">
        <v>5</v>
      </c>
      <c r="C36" s="66" t="s">
        <v>71</v>
      </c>
      <c r="D36" s="66"/>
    </row>
    <row r="37" spans="1:7" ht="42.75" x14ac:dyDescent="0.25">
      <c r="A37" s="65"/>
      <c r="B37" s="90"/>
      <c r="C37" s="67" t="str">
        <f>C3</f>
        <v>Okres 
zakończony 
31/12/2021</v>
      </c>
      <c r="D37" s="67" t="str">
        <f>D3</f>
        <v>Okres 
zakończony 31/12/2020</v>
      </c>
    </row>
    <row r="38" spans="1:7" x14ac:dyDescent="0.25">
      <c r="A38" s="91" t="s">
        <v>104</v>
      </c>
      <c r="B38" s="91"/>
      <c r="C38" s="92">
        <f>C33</f>
        <v>17064000</v>
      </c>
      <c r="D38" s="92">
        <f>D33</f>
        <v>9431000</v>
      </c>
    </row>
    <row r="39" spans="1:7" x14ac:dyDescent="0.25">
      <c r="A39" s="74" t="s">
        <v>105</v>
      </c>
      <c r="B39" s="74"/>
      <c r="C39" s="75">
        <v>7454000</v>
      </c>
      <c r="D39" s="75">
        <f>D33</f>
        <v>9431000</v>
      </c>
    </row>
    <row r="40" spans="1:7" ht="14.45" customHeight="1" x14ac:dyDescent="0.25">
      <c r="A40" s="91" t="s">
        <v>106</v>
      </c>
      <c r="B40" s="91"/>
      <c r="C40" s="27">
        <f>C38-C39</f>
        <v>9610000</v>
      </c>
      <c r="D40" s="27">
        <v>0</v>
      </c>
    </row>
    <row r="41" spans="1:7" x14ac:dyDescent="0.25">
      <c r="A41" s="74" t="s">
        <v>107</v>
      </c>
      <c r="B41" s="81">
        <v>12</v>
      </c>
      <c r="C41" s="93"/>
      <c r="D41" s="93"/>
    </row>
    <row r="42" spans="1:7" x14ac:dyDescent="0.25">
      <c r="A42" s="74" t="s">
        <v>108</v>
      </c>
      <c r="B42" s="74"/>
      <c r="C42" s="94"/>
      <c r="D42" s="94"/>
    </row>
    <row r="43" spans="1:7" hidden="1" x14ac:dyDescent="0.25">
      <c r="A43" s="74" t="s">
        <v>109</v>
      </c>
      <c r="B43" s="74"/>
      <c r="C43" s="75"/>
      <c r="D43" s="75"/>
    </row>
    <row r="44" spans="1:7" hidden="1" x14ac:dyDescent="0.25">
      <c r="A44" s="74" t="s">
        <v>110</v>
      </c>
      <c r="B44" s="74"/>
      <c r="C44" s="95">
        <f>C38/12355504</f>
        <v>1.3810848994909475</v>
      </c>
      <c r="D44" s="95">
        <f>D39/12355504</f>
        <v>0.76330354471982687</v>
      </c>
    </row>
    <row r="45" spans="1:7" hidden="1" x14ac:dyDescent="0.25">
      <c r="A45" s="74" t="s">
        <v>111</v>
      </c>
      <c r="B45" s="74"/>
      <c r="C45" s="95">
        <f>C38/12355504</f>
        <v>1.3810848994909475</v>
      </c>
      <c r="D45" s="95">
        <f>D44</f>
        <v>0.76330354471982687</v>
      </c>
    </row>
    <row r="46" spans="1:7" x14ac:dyDescent="0.25">
      <c r="A46" s="74" t="s">
        <v>112</v>
      </c>
      <c r="B46" s="74"/>
      <c r="C46" s="75"/>
      <c r="D46" s="75"/>
    </row>
    <row r="47" spans="1:7" x14ac:dyDescent="0.25">
      <c r="A47" s="74" t="s">
        <v>110</v>
      </c>
      <c r="B47" s="74"/>
      <c r="C47" s="95">
        <f>C44</f>
        <v>1.3810848994909475</v>
      </c>
      <c r="D47" s="95">
        <f>D45</f>
        <v>0.76330354471982687</v>
      </c>
      <c r="G47" s="96"/>
    </row>
    <row r="48" spans="1:7" ht="17.25" customHeight="1" x14ac:dyDescent="0.25">
      <c r="A48" s="91" t="s">
        <v>111</v>
      </c>
      <c r="B48" s="91"/>
      <c r="C48" s="97">
        <f>C44</f>
        <v>1.3810848994909475</v>
      </c>
      <c r="D48" s="97">
        <f>D47</f>
        <v>0.76330354471982687</v>
      </c>
    </row>
    <row r="49" spans="1:4" ht="11.1" customHeight="1" x14ac:dyDescent="0.25">
      <c r="A49" s="98"/>
      <c r="B49" s="98"/>
      <c r="C49" s="99"/>
      <c r="D49" s="99"/>
    </row>
    <row r="55" spans="1:4" ht="16.5" x14ac:dyDescent="0.35">
      <c r="A55" s="100"/>
      <c r="B55" s="100"/>
    </row>
  </sheetData>
  <mergeCells count="10">
    <mergeCell ref="C41:C42"/>
    <mergeCell ref="D41:D42"/>
    <mergeCell ref="A1:D1"/>
    <mergeCell ref="A2:A3"/>
    <mergeCell ref="B2:B3"/>
    <mergeCell ref="C2:D2"/>
    <mergeCell ref="A35:D35"/>
    <mergeCell ref="A36:A37"/>
    <mergeCell ref="B36:B37"/>
    <mergeCell ref="C36:D36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Light,Regular"&amp;8&amp;KE73E2ARoczne skonsolidowane sprawozdanie finansowe Grupy Ailleron SA za okres od 1 stycznia 2021 r. do 31 grudnia 2021 r.
(wszystkie kwoty podano w tys. PLN,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6829-9CA0-4D60-B3C3-57F06D914525}">
  <sheetPr>
    <pageSetUpPr fitToPage="1"/>
  </sheetPr>
  <dimension ref="A1:I21"/>
  <sheetViews>
    <sheetView showGridLines="0" view="pageBreakPreview" topLeftCell="A10" zoomScale="120" zoomScaleNormal="100" zoomScaleSheetLayoutView="120" workbookViewId="0">
      <selection activeCell="A23" sqref="A23:XFD23"/>
    </sheetView>
  </sheetViews>
  <sheetFormatPr defaultColWidth="9.140625" defaultRowHeight="15" x14ac:dyDescent="0.25"/>
  <cols>
    <col min="1" max="1" width="50.85546875" style="12" customWidth="1"/>
    <col min="2" max="2" width="7.85546875" style="12" customWidth="1"/>
    <col min="3" max="4" width="15.85546875" style="12" customWidth="1"/>
    <col min="5" max="16384" width="9.140625" style="12"/>
  </cols>
  <sheetData>
    <row r="1" spans="1:9" s="64" customFormat="1" ht="35.1" customHeight="1" x14ac:dyDescent="0.2">
      <c r="A1" s="11" t="s">
        <v>114</v>
      </c>
      <c r="B1" s="11"/>
      <c r="C1" s="11"/>
      <c r="D1" s="11"/>
    </row>
    <row r="2" spans="1:9" ht="17.25" customHeight="1" x14ac:dyDescent="0.25">
      <c r="A2" s="65" t="s">
        <v>115</v>
      </c>
      <c r="B2" s="89"/>
      <c r="C2" s="66" t="s">
        <v>71</v>
      </c>
      <c r="D2" s="66"/>
    </row>
    <row r="3" spans="1:9" ht="42.75" customHeight="1" x14ac:dyDescent="0.25">
      <c r="A3" s="65"/>
      <c r="B3" s="90"/>
      <c r="C3" s="67" t="s">
        <v>72</v>
      </c>
      <c r="D3" s="67" t="s">
        <v>73</v>
      </c>
    </row>
    <row r="4" spans="1:9" ht="14.45" customHeight="1" x14ac:dyDescent="0.25">
      <c r="A4" s="32" t="s">
        <v>102</v>
      </c>
      <c r="B4" s="77"/>
      <c r="C4" s="101">
        <f>RZIS_s!C33</f>
        <v>17064000</v>
      </c>
      <c r="D4" s="101">
        <f>RZIS_s!D33</f>
        <v>9431000</v>
      </c>
    </row>
    <row r="5" spans="1:9" ht="14.45" customHeight="1" x14ac:dyDescent="0.25">
      <c r="A5" s="74" t="s">
        <v>116</v>
      </c>
      <c r="B5" s="74"/>
      <c r="C5" s="102"/>
      <c r="D5" s="103"/>
      <c r="H5" s="104"/>
      <c r="I5" s="104"/>
    </row>
    <row r="6" spans="1:9" ht="14.45" customHeight="1" x14ac:dyDescent="0.25">
      <c r="A6" s="77" t="s">
        <v>40</v>
      </c>
      <c r="B6" s="77"/>
      <c r="C6" s="105">
        <v>-117000</v>
      </c>
      <c r="D6" s="106">
        <v>29000</v>
      </c>
    </row>
    <row r="7" spans="1:9" x14ac:dyDescent="0.25">
      <c r="A7" s="32" t="s">
        <v>117</v>
      </c>
      <c r="B7" s="77"/>
      <c r="C7" s="107">
        <f>C6</f>
        <v>-117000</v>
      </c>
      <c r="D7" s="107">
        <f>D6</f>
        <v>29000</v>
      </c>
    </row>
    <row r="8" spans="1:9" ht="17.45" customHeight="1" x14ac:dyDescent="0.25">
      <c r="A8" s="32" t="s">
        <v>118</v>
      </c>
      <c r="B8" s="32"/>
      <c r="C8" s="86">
        <f>C4+C7</f>
        <v>16947000</v>
      </c>
      <c r="D8" s="86">
        <f>D4+D7</f>
        <v>9460000</v>
      </c>
    </row>
    <row r="9" spans="1:9" x14ac:dyDescent="0.25">
      <c r="A9" s="74" t="s">
        <v>119</v>
      </c>
      <c r="B9" s="108"/>
      <c r="C9" s="109">
        <f>RZIS_s!C39-117000</f>
        <v>7337000</v>
      </c>
      <c r="D9" s="109">
        <f>D8</f>
        <v>9460000</v>
      </c>
      <c r="E9" s="29"/>
    </row>
    <row r="10" spans="1:9" x14ac:dyDescent="0.25">
      <c r="A10" s="74" t="s">
        <v>120</v>
      </c>
      <c r="B10" s="108"/>
      <c r="C10" s="109">
        <f>RZIS_s!C40</f>
        <v>9610000</v>
      </c>
      <c r="D10" s="109">
        <v>0</v>
      </c>
      <c r="E10" s="29"/>
    </row>
    <row r="11" spans="1:9" x14ac:dyDescent="0.25">
      <c r="A11" s="110"/>
      <c r="B11" s="110"/>
      <c r="C11" s="110"/>
      <c r="D11" s="110"/>
    </row>
    <row r="17" spans="1:2" ht="16.5" x14ac:dyDescent="0.35">
      <c r="A17" s="100"/>
      <c r="B17" s="100"/>
    </row>
    <row r="21" spans="1:2" ht="16.5" x14ac:dyDescent="0.35">
      <c r="A21" s="61"/>
      <c r="B21" s="100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Light,Regular"&amp;8&amp;KE73E2ARoczne skonsolidowane sprawozdanie finansowe Grupy Ailleron SA za okres od 1 stycznia 2021 r. do 31 grudnia 2021 r.
(wszystkie kwoty podano w tys. PLN,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7AC25-8EB1-4A4A-AC0C-92512A00E8B0}">
  <dimension ref="A1:C85"/>
  <sheetViews>
    <sheetView showGridLines="0" view="pageBreakPreview" zoomScale="110" zoomScaleNormal="100" zoomScaleSheetLayoutView="110" workbookViewId="0">
      <selection activeCell="A86" sqref="A86:XFD86"/>
    </sheetView>
  </sheetViews>
  <sheetFormatPr defaultRowHeight="15" x14ac:dyDescent="0.25"/>
  <cols>
    <col min="1" max="1" width="54.140625" style="131" customWidth="1"/>
    <col min="2" max="3" width="15.85546875" style="12" customWidth="1"/>
    <col min="4" max="16384" width="9.140625" style="12"/>
  </cols>
  <sheetData>
    <row r="1" spans="1:3" s="64" customFormat="1" ht="35.1" customHeight="1" x14ac:dyDescent="0.2">
      <c r="A1" s="111" t="s">
        <v>121</v>
      </c>
      <c r="B1" s="111"/>
      <c r="C1" s="111"/>
    </row>
    <row r="2" spans="1:3" x14ac:dyDescent="0.25">
      <c r="A2" s="112"/>
      <c r="B2" s="113" t="s">
        <v>71</v>
      </c>
      <c r="C2" s="113"/>
    </row>
    <row r="3" spans="1:3" ht="44.1" customHeight="1" x14ac:dyDescent="0.25">
      <c r="A3" s="112"/>
      <c r="B3" s="67" t="s">
        <v>122</v>
      </c>
      <c r="C3" s="67" t="s">
        <v>73</v>
      </c>
    </row>
    <row r="4" spans="1:3" x14ac:dyDescent="0.25">
      <c r="A4" s="114" t="s">
        <v>123</v>
      </c>
      <c r="B4" s="115"/>
      <c r="C4" s="115"/>
    </row>
    <row r="5" spans="1:3" x14ac:dyDescent="0.25">
      <c r="A5" s="76" t="s">
        <v>124</v>
      </c>
      <c r="B5" s="116">
        <f>RZIS_s!C33</f>
        <v>17064000</v>
      </c>
      <c r="C5" s="116">
        <f>RZIS_s!D39</f>
        <v>9431000</v>
      </c>
    </row>
    <row r="6" spans="1:3" x14ac:dyDescent="0.25">
      <c r="A6" s="76" t="s">
        <v>125</v>
      </c>
      <c r="B6" s="116">
        <f>SUM(B7:B34)</f>
        <v>23155000</v>
      </c>
      <c r="C6" s="116">
        <f>SUM(C7:C34)</f>
        <v>20198000</v>
      </c>
    </row>
    <row r="7" spans="1:3" x14ac:dyDescent="0.25">
      <c r="A7" s="117" t="s">
        <v>126</v>
      </c>
      <c r="B7" s="118">
        <f>RZIS_s!C25</f>
        <v>8532000</v>
      </c>
      <c r="C7" s="118">
        <f>RZIS_s!D25</f>
        <v>4093000</v>
      </c>
    </row>
    <row r="8" spans="1:3" hidden="1" x14ac:dyDescent="0.25">
      <c r="A8" s="117" t="s">
        <v>127</v>
      </c>
      <c r="B8" s="118">
        <v>0</v>
      </c>
      <c r="C8" s="118">
        <v>0</v>
      </c>
    </row>
    <row r="9" spans="1:3" x14ac:dyDescent="0.25">
      <c r="A9" s="117" t="s">
        <v>128</v>
      </c>
      <c r="B9" s="118">
        <v>937000</v>
      </c>
      <c r="C9" s="118">
        <v>270000</v>
      </c>
    </row>
    <row r="10" spans="1:3" hidden="1" x14ac:dyDescent="0.25">
      <c r="A10" s="117" t="s">
        <v>129</v>
      </c>
      <c r="B10" s="118"/>
      <c r="C10" s="118">
        <v>0</v>
      </c>
    </row>
    <row r="11" spans="1:3" ht="25.5" x14ac:dyDescent="0.25">
      <c r="A11" s="117" t="s">
        <v>130</v>
      </c>
      <c r="B11" s="118">
        <v>-147000</v>
      </c>
      <c r="C11" s="118">
        <f>-145000+41000</f>
        <v>-104000</v>
      </c>
    </row>
    <row r="12" spans="1:3" x14ac:dyDescent="0.25">
      <c r="A12" s="117" t="s">
        <v>129</v>
      </c>
      <c r="B12" s="118">
        <v>66000</v>
      </c>
      <c r="C12" s="118">
        <v>0</v>
      </c>
    </row>
    <row r="13" spans="1:3" ht="25.5" hidden="1" x14ac:dyDescent="0.25">
      <c r="A13" s="117" t="s">
        <v>131</v>
      </c>
      <c r="B13" s="118"/>
      <c r="C13" s="118">
        <v>0</v>
      </c>
    </row>
    <row r="14" spans="1:3" hidden="1" x14ac:dyDescent="0.25">
      <c r="A14" s="117" t="s">
        <v>132</v>
      </c>
      <c r="B14" s="118">
        <v>0</v>
      </c>
      <c r="C14" s="118">
        <v>0</v>
      </c>
    </row>
    <row r="15" spans="1:3" x14ac:dyDescent="0.25">
      <c r="A15" s="117" t="s">
        <v>133</v>
      </c>
      <c r="B15" s="118">
        <v>0</v>
      </c>
      <c r="C15" s="118">
        <v>1622000</v>
      </c>
    </row>
    <row r="16" spans="1:3" ht="25.5" x14ac:dyDescent="0.25">
      <c r="A16" s="117" t="s">
        <v>134</v>
      </c>
      <c r="B16" s="118">
        <v>266000</v>
      </c>
      <c r="C16" s="118">
        <v>180000</v>
      </c>
    </row>
    <row r="17" spans="1:3" ht="25.5" hidden="1" x14ac:dyDescent="0.25">
      <c r="A17" s="117" t="s">
        <v>135</v>
      </c>
      <c r="B17" s="118"/>
      <c r="C17" s="118">
        <v>0</v>
      </c>
    </row>
    <row r="18" spans="1:3" hidden="1" x14ac:dyDescent="0.25">
      <c r="A18" s="117" t="s">
        <v>136</v>
      </c>
      <c r="B18" s="118">
        <v>0</v>
      </c>
      <c r="C18" s="118">
        <v>0</v>
      </c>
    </row>
    <row r="19" spans="1:3" ht="25.5" x14ac:dyDescent="0.25">
      <c r="A19" s="117" t="s">
        <v>137</v>
      </c>
      <c r="B19" s="118">
        <f>502000-746000</f>
        <v>-244000</v>
      </c>
      <c r="C19" s="118">
        <f>1168000-478000</f>
        <v>690000</v>
      </c>
    </row>
    <row r="20" spans="1:3" hidden="1" x14ac:dyDescent="0.25">
      <c r="A20" s="119" t="s">
        <v>138</v>
      </c>
      <c r="B20" s="118">
        <v>0</v>
      </c>
      <c r="C20" s="118">
        <v>0</v>
      </c>
    </row>
    <row r="21" spans="1:3" x14ac:dyDescent="0.25">
      <c r="A21" s="117" t="s">
        <v>139</v>
      </c>
      <c r="B21" s="118">
        <v>8331000</v>
      </c>
      <c r="C21" s="118">
        <v>8300000</v>
      </c>
    </row>
    <row r="22" spans="1:3" hidden="1" x14ac:dyDescent="0.25">
      <c r="A22" s="117" t="s">
        <v>140</v>
      </c>
      <c r="B22" s="118"/>
      <c r="C22" s="118">
        <v>0</v>
      </c>
    </row>
    <row r="23" spans="1:3" x14ac:dyDescent="0.25">
      <c r="A23" s="117" t="s">
        <v>141</v>
      </c>
      <c r="B23" s="118">
        <v>913000</v>
      </c>
      <c r="C23" s="118">
        <v>-47000</v>
      </c>
    </row>
    <row r="24" spans="1:3" ht="14.1" customHeight="1" x14ac:dyDescent="0.25">
      <c r="A24" s="117" t="s">
        <v>142</v>
      </c>
      <c r="B24" s="118">
        <v>83000</v>
      </c>
      <c r="C24" s="118">
        <v>185000</v>
      </c>
    </row>
    <row r="25" spans="1:3" ht="24" customHeight="1" x14ac:dyDescent="0.25">
      <c r="A25" s="120" t="s">
        <v>143</v>
      </c>
      <c r="B25" s="118"/>
      <c r="C25" s="118"/>
    </row>
    <row r="26" spans="1:3" ht="25.5" x14ac:dyDescent="0.25">
      <c r="A26" s="121" t="s">
        <v>144</v>
      </c>
      <c r="B26" s="118">
        <f>-7270000+5816000</f>
        <v>-1454000</v>
      </c>
      <c r="C26" s="118">
        <f>95000+3667000</f>
        <v>3762000</v>
      </c>
    </row>
    <row r="27" spans="1:3" ht="14.1" hidden="1" customHeight="1" x14ac:dyDescent="0.25">
      <c r="A27" s="121" t="s">
        <v>145</v>
      </c>
      <c r="B27" s="118">
        <f>5816000-5816000</f>
        <v>0</v>
      </c>
      <c r="C27" s="118">
        <f>3667000-3667000</f>
        <v>0</v>
      </c>
    </row>
    <row r="28" spans="1:3" x14ac:dyDescent="0.25">
      <c r="A28" s="121" t="s">
        <v>146</v>
      </c>
      <c r="B28" s="118">
        <v>2635000</v>
      </c>
      <c r="C28" s="118">
        <v>235000</v>
      </c>
    </row>
    <row r="29" spans="1:3" x14ac:dyDescent="0.25">
      <c r="A29" s="121" t="s">
        <v>147</v>
      </c>
      <c r="B29" s="118">
        <v>1744000</v>
      </c>
      <c r="C29" s="118">
        <v>-844000</v>
      </c>
    </row>
    <row r="30" spans="1:3" ht="26.1" customHeight="1" x14ac:dyDescent="0.25">
      <c r="A30" s="121" t="s">
        <v>148</v>
      </c>
      <c r="B30" s="118">
        <f>295000-907000</f>
        <v>-612000</v>
      </c>
      <c r="C30" s="118">
        <f>1666000-1912000</f>
        <v>-246000</v>
      </c>
    </row>
    <row r="31" spans="1:3" ht="15.6" hidden="1" customHeight="1" x14ac:dyDescent="0.25">
      <c r="A31" s="121" t="s">
        <v>149</v>
      </c>
      <c r="B31" s="118">
        <f>-907000+907000</f>
        <v>0</v>
      </c>
      <c r="C31" s="118">
        <f>-1912000+1912000</f>
        <v>0</v>
      </c>
    </row>
    <row r="32" spans="1:3" x14ac:dyDescent="0.25">
      <c r="A32" s="121" t="s">
        <v>150</v>
      </c>
      <c r="B32" s="118">
        <v>4000</v>
      </c>
      <c r="C32" s="118">
        <v>-94000</v>
      </c>
    </row>
    <row r="33" spans="1:3" x14ac:dyDescent="0.25">
      <c r="A33" s="121" t="s">
        <v>151</v>
      </c>
      <c r="B33" s="118">
        <v>1460000</v>
      </c>
      <c r="C33" s="118">
        <v>-594000</v>
      </c>
    </row>
    <row r="34" spans="1:3" x14ac:dyDescent="0.25">
      <c r="A34" s="121" t="s">
        <v>152</v>
      </c>
      <c r="B34" s="118">
        <v>641000</v>
      </c>
      <c r="C34" s="118">
        <v>2790000</v>
      </c>
    </row>
    <row r="35" spans="1:3" x14ac:dyDescent="0.25">
      <c r="A35" s="122" t="s">
        <v>153</v>
      </c>
      <c r="B35" s="73">
        <f>SUM(B5:B6)</f>
        <v>40219000</v>
      </c>
      <c r="C35" s="73">
        <f>SUM(C5:C6)</f>
        <v>29629000</v>
      </c>
    </row>
    <row r="36" spans="1:3" x14ac:dyDescent="0.25">
      <c r="A36" s="121" t="s">
        <v>154</v>
      </c>
      <c r="B36" s="75">
        <v>-1856000</v>
      </c>
      <c r="C36" s="75">
        <v>-222000</v>
      </c>
    </row>
    <row r="37" spans="1:3" x14ac:dyDescent="0.25">
      <c r="A37" s="121" t="s">
        <v>155</v>
      </c>
      <c r="B37" s="118">
        <f>-13160000+879000</f>
        <v>-12281000</v>
      </c>
      <c r="C37" s="75">
        <v>-3688000</v>
      </c>
    </row>
    <row r="38" spans="1:3" x14ac:dyDescent="0.25">
      <c r="A38" s="123" t="s">
        <v>156</v>
      </c>
      <c r="B38" s="73">
        <f>SUM(B35:B37)</f>
        <v>26082000</v>
      </c>
      <c r="C38" s="73">
        <f>SUM(C35:C37)</f>
        <v>25719000</v>
      </c>
    </row>
    <row r="39" spans="1:3" s="64" customFormat="1" ht="35.1" customHeight="1" x14ac:dyDescent="0.2">
      <c r="A39" s="111" t="s">
        <v>157</v>
      </c>
      <c r="B39" s="111"/>
      <c r="C39" s="111"/>
    </row>
    <row r="40" spans="1:3" x14ac:dyDescent="0.25">
      <c r="A40" s="112"/>
      <c r="B40" s="113" t="s">
        <v>71</v>
      </c>
      <c r="C40" s="113"/>
    </row>
    <row r="41" spans="1:3" ht="41.1" customHeight="1" x14ac:dyDescent="0.25">
      <c r="A41" s="112"/>
      <c r="B41" s="67" t="str">
        <f>B3</f>
        <v>Okres 
zakończony 31/12/2021</v>
      </c>
      <c r="C41" s="67" t="str">
        <f>C3</f>
        <v>Okres 
zakończony 31/12/2020</v>
      </c>
    </row>
    <row r="42" spans="1:3" ht="15" customHeight="1" x14ac:dyDescent="0.25">
      <c r="A42" s="114" t="s">
        <v>158</v>
      </c>
      <c r="B42" s="92"/>
      <c r="C42" s="124"/>
    </row>
    <row r="43" spans="1:3" hidden="1" x14ac:dyDescent="0.25">
      <c r="A43" s="121" t="s">
        <v>159</v>
      </c>
      <c r="B43" s="75">
        <v>0</v>
      </c>
      <c r="C43" s="125">
        <v>0</v>
      </c>
    </row>
    <row r="44" spans="1:3" hidden="1" x14ac:dyDescent="0.25">
      <c r="A44" s="121" t="s">
        <v>160</v>
      </c>
      <c r="B44" s="75">
        <v>0</v>
      </c>
      <c r="C44" s="125">
        <v>0</v>
      </c>
    </row>
    <row r="45" spans="1:3" hidden="1" x14ac:dyDescent="0.25">
      <c r="A45" s="121" t="s">
        <v>161</v>
      </c>
      <c r="B45" s="75">
        <v>0</v>
      </c>
      <c r="C45" s="125">
        <v>0</v>
      </c>
    </row>
    <row r="46" spans="1:3" x14ac:dyDescent="0.25">
      <c r="A46" s="117" t="s">
        <v>162</v>
      </c>
      <c r="B46" s="75">
        <v>-15784000</v>
      </c>
      <c r="C46" s="125">
        <v>0</v>
      </c>
    </row>
    <row r="47" spans="1:3" hidden="1" x14ac:dyDescent="0.25">
      <c r="A47" s="121" t="s">
        <v>163</v>
      </c>
      <c r="B47" s="75">
        <v>0</v>
      </c>
      <c r="C47" s="75">
        <v>0</v>
      </c>
    </row>
    <row r="48" spans="1:3" x14ac:dyDescent="0.25">
      <c r="A48" s="121" t="s">
        <v>164</v>
      </c>
      <c r="B48" s="118">
        <v>-276000</v>
      </c>
      <c r="C48" s="118">
        <v>-179000</v>
      </c>
    </row>
    <row r="49" spans="1:3" hidden="1" x14ac:dyDescent="0.25">
      <c r="A49" s="121" t="s">
        <v>165</v>
      </c>
      <c r="B49" s="118"/>
      <c r="C49" s="118">
        <v>0</v>
      </c>
    </row>
    <row r="50" spans="1:3" x14ac:dyDescent="0.25">
      <c r="A50" s="121" t="s">
        <v>166</v>
      </c>
      <c r="B50" s="118">
        <v>20000</v>
      </c>
      <c r="C50" s="118">
        <v>10000</v>
      </c>
    </row>
    <row r="51" spans="1:3" hidden="1" x14ac:dyDescent="0.25">
      <c r="A51" s="121" t="s">
        <v>167</v>
      </c>
      <c r="B51" s="118">
        <v>0</v>
      </c>
      <c r="C51" s="118">
        <v>0</v>
      </c>
    </row>
    <row r="52" spans="1:3" x14ac:dyDescent="0.25">
      <c r="A52" s="121" t="s">
        <v>168</v>
      </c>
      <c r="B52" s="118">
        <v>0</v>
      </c>
      <c r="C52" s="118">
        <v>-40000</v>
      </c>
    </row>
    <row r="53" spans="1:3" x14ac:dyDescent="0.25">
      <c r="A53" s="117" t="s">
        <v>169</v>
      </c>
      <c r="B53" s="118">
        <f>-9432000-2864000-B55</f>
        <v>-1774000</v>
      </c>
      <c r="C53" s="118">
        <v>-1967000</v>
      </c>
    </row>
    <row r="54" spans="1:3" x14ac:dyDescent="0.25">
      <c r="A54" s="117" t="s">
        <v>170</v>
      </c>
      <c r="B54" s="118">
        <v>349000</v>
      </c>
      <c r="C54" s="118">
        <v>112000</v>
      </c>
    </row>
    <row r="55" spans="1:3" x14ac:dyDescent="0.25">
      <c r="A55" s="117" t="s">
        <v>171</v>
      </c>
      <c r="B55" s="118">
        <f>-7658000-2864000</f>
        <v>-10522000</v>
      </c>
      <c r="C55" s="118">
        <v>0</v>
      </c>
    </row>
    <row r="56" spans="1:3" hidden="1" x14ac:dyDescent="0.25">
      <c r="A56" s="121"/>
      <c r="B56" s="118"/>
      <c r="C56" s="118">
        <v>-493</v>
      </c>
    </row>
    <row r="57" spans="1:3" x14ac:dyDescent="0.25">
      <c r="A57" s="121" t="s">
        <v>172</v>
      </c>
      <c r="B57" s="118"/>
      <c r="C57" s="118">
        <v>0</v>
      </c>
    </row>
    <row r="58" spans="1:3" x14ac:dyDescent="0.25">
      <c r="A58" s="121" t="s">
        <v>173</v>
      </c>
      <c r="B58" s="118">
        <v>0</v>
      </c>
      <c r="C58" s="118">
        <v>-565000</v>
      </c>
    </row>
    <row r="59" spans="1:3" ht="25.35" customHeight="1" x14ac:dyDescent="0.25">
      <c r="A59" s="123" t="s">
        <v>174</v>
      </c>
      <c r="B59" s="126">
        <f>SUM(B43:B58)</f>
        <v>-27987000</v>
      </c>
      <c r="C59" s="126">
        <f>SUM(C43:C58)</f>
        <v>-2629493</v>
      </c>
    </row>
    <row r="60" spans="1:3" x14ac:dyDescent="0.25">
      <c r="A60" s="114" t="s">
        <v>175</v>
      </c>
      <c r="B60" s="126"/>
      <c r="C60" s="127"/>
    </row>
    <row r="61" spans="1:3" x14ac:dyDescent="0.25">
      <c r="A61" s="121" t="s">
        <v>176</v>
      </c>
      <c r="B61" s="118">
        <v>108422000</v>
      </c>
      <c r="C61" s="128">
        <v>0</v>
      </c>
    </row>
    <row r="62" spans="1:3" x14ac:dyDescent="0.25">
      <c r="A62" s="121" t="s">
        <v>167</v>
      </c>
      <c r="B62" s="118">
        <v>-3954000</v>
      </c>
      <c r="C62" s="128">
        <v>0</v>
      </c>
    </row>
    <row r="63" spans="1:3" hidden="1" x14ac:dyDescent="0.25">
      <c r="A63" s="121" t="s">
        <v>177</v>
      </c>
      <c r="B63" s="118">
        <v>0</v>
      </c>
      <c r="C63" s="128">
        <v>0</v>
      </c>
    </row>
    <row r="64" spans="1:3" hidden="1" x14ac:dyDescent="0.25">
      <c r="A64" s="121" t="s">
        <v>178</v>
      </c>
      <c r="B64" s="118">
        <v>0</v>
      </c>
      <c r="C64" s="128">
        <v>0</v>
      </c>
    </row>
    <row r="65" spans="1:3" x14ac:dyDescent="0.25">
      <c r="A65" s="121" t="s">
        <v>179</v>
      </c>
      <c r="B65" s="118">
        <f>-11378000+12000</f>
        <v>-11366000</v>
      </c>
      <c r="C65" s="118">
        <v>-2766000</v>
      </c>
    </row>
    <row r="66" spans="1:3" x14ac:dyDescent="0.25">
      <c r="A66" s="121" t="s">
        <v>180</v>
      </c>
      <c r="B66" s="118">
        <v>-12000</v>
      </c>
      <c r="C66" s="118">
        <v>-104000</v>
      </c>
    </row>
    <row r="67" spans="1:3" hidden="1" x14ac:dyDescent="0.25">
      <c r="A67" s="121" t="s">
        <v>181</v>
      </c>
      <c r="B67" s="118"/>
      <c r="C67" s="118">
        <v>0</v>
      </c>
    </row>
    <row r="68" spans="1:3" hidden="1" x14ac:dyDescent="0.25">
      <c r="A68" s="121" t="s">
        <v>178</v>
      </c>
      <c r="B68" s="118"/>
      <c r="C68" s="118">
        <v>0</v>
      </c>
    </row>
    <row r="69" spans="1:3" hidden="1" x14ac:dyDescent="0.25">
      <c r="A69" s="121" t="s">
        <v>182</v>
      </c>
      <c r="B69" s="118">
        <v>0</v>
      </c>
      <c r="C69" s="118">
        <v>0</v>
      </c>
    </row>
    <row r="70" spans="1:3" x14ac:dyDescent="0.25">
      <c r="A70" s="121" t="s">
        <v>183</v>
      </c>
      <c r="B70" s="118">
        <v>0</v>
      </c>
      <c r="C70" s="118">
        <v>4500000</v>
      </c>
    </row>
    <row r="71" spans="1:3" hidden="1" x14ac:dyDescent="0.25">
      <c r="A71" s="121" t="s">
        <v>184</v>
      </c>
      <c r="B71" s="118"/>
      <c r="C71" s="118">
        <v>0</v>
      </c>
    </row>
    <row r="72" spans="1:3" hidden="1" x14ac:dyDescent="0.25">
      <c r="A72" s="121" t="s">
        <v>185</v>
      </c>
      <c r="B72" s="118"/>
      <c r="C72" s="118">
        <v>0</v>
      </c>
    </row>
    <row r="73" spans="1:3" hidden="1" x14ac:dyDescent="0.25">
      <c r="A73" s="121" t="s">
        <v>186</v>
      </c>
      <c r="B73" s="118"/>
      <c r="C73" s="118">
        <v>0</v>
      </c>
    </row>
    <row r="74" spans="1:3" x14ac:dyDescent="0.25">
      <c r="A74" s="121" t="s">
        <v>187</v>
      </c>
      <c r="B74" s="118">
        <v>-3559000</v>
      </c>
      <c r="C74" s="118">
        <v>-5372000</v>
      </c>
    </row>
    <row r="75" spans="1:3" ht="26.25" customHeight="1" x14ac:dyDescent="0.25">
      <c r="A75" s="123" t="s">
        <v>188</v>
      </c>
      <c r="B75" s="126">
        <f>SUM(B61:B74)</f>
        <v>89531000</v>
      </c>
      <c r="C75" s="126">
        <f>SUM(C61:C74)</f>
        <v>-3742000</v>
      </c>
    </row>
    <row r="76" spans="1:3" x14ac:dyDescent="0.25">
      <c r="A76" s="129" t="s">
        <v>189</v>
      </c>
      <c r="B76" s="118">
        <f>B38+B59+B75</f>
        <v>87626000</v>
      </c>
      <c r="C76" s="118">
        <f>C38+C59+C75</f>
        <v>19347507</v>
      </c>
    </row>
    <row r="77" spans="1:3" ht="17.45" customHeight="1" x14ac:dyDescent="0.25">
      <c r="A77" s="74" t="s">
        <v>190</v>
      </c>
      <c r="B77" s="118">
        <f>C81</f>
        <v>23712507</v>
      </c>
      <c r="C77" s="118">
        <v>4365000</v>
      </c>
    </row>
    <row r="78" spans="1:3" ht="17.45" customHeight="1" x14ac:dyDescent="0.25">
      <c r="A78" s="74" t="s">
        <v>191</v>
      </c>
      <c r="B78" s="118">
        <f>1800000-1800000</f>
        <v>0</v>
      </c>
      <c r="C78" s="75">
        <v>0</v>
      </c>
    </row>
    <row r="79" spans="1:3" hidden="1" x14ac:dyDescent="0.25">
      <c r="A79" s="74" t="s">
        <v>192</v>
      </c>
      <c r="B79" s="75">
        <v>0</v>
      </c>
      <c r="C79" s="75">
        <v>0</v>
      </c>
    </row>
    <row r="80" spans="1:3" hidden="1" x14ac:dyDescent="0.25">
      <c r="A80" s="74" t="s">
        <v>193</v>
      </c>
      <c r="B80" s="75">
        <v>0</v>
      </c>
      <c r="C80" s="75">
        <v>0</v>
      </c>
    </row>
    <row r="81" spans="1:3" ht="27.75" customHeight="1" x14ac:dyDescent="0.25">
      <c r="A81" s="130" t="s">
        <v>194</v>
      </c>
      <c r="B81" s="101">
        <f>B76+B77+B78</f>
        <v>111338507</v>
      </c>
      <c r="C81" s="101">
        <f>C76+C77</f>
        <v>23712507</v>
      </c>
    </row>
    <row r="82" spans="1:3" ht="15" customHeight="1" x14ac:dyDescent="0.25"/>
    <row r="83" spans="1:3" ht="26.25" customHeight="1" x14ac:dyDescent="0.25"/>
    <row r="84" spans="1:3" ht="23.45" customHeight="1" x14ac:dyDescent="0.25"/>
    <row r="85" spans="1:3" ht="27" customHeight="1" x14ac:dyDescent="0.3">
      <c r="A85" s="132"/>
    </row>
  </sheetData>
  <mergeCells count="6">
    <mergeCell ref="A1:C1"/>
    <mergeCell ref="A2:A3"/>
    <mergeCell ref="B2:C2"/>
    <mergeCell ref="A39:C39"/>
    <mergeCell ref="A40:A41"/>
    <mergeCell ref="B40:C40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&amp;L&amp;"Lato Light,Regular"&amp;8&amp;KE73E2ARoczne skonsolidowane sprawozdanie finansowe Grupy Ailleron SA za okres od 1 stycznia 2021r. do 31 grudnia 2021 r.
(wszystkie kwoty podano w tys. PLN, o ile nie wskazano inaczej)</oddHeader>
    <oddFooter>&amp;C&amp;P</oddFooter>
  </headerFooter>
  <rowBreaks count="1" manualBreakCount="1">
    <brk id="3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1EF5-CFA9-43B7-A4AC-EF7315B9ABDB}">
  <sheetPr>
    <pageSetUpPr fitToPage="1"/>
  </sheetPr>
  <dimension ref="A1:M30"/>
  <sheetViews>
    <sheetView showGridLines="0" view="pageBreakPreview" topLeftCell="A19" zoomScale="115" zoomScaleNormal="100" zoomScaleSheetLayoutView="115" workbookViewId="0">
      <selection activeCell="C37" sqref="C37"/>
    </sheetView>
  </sheetViews>
  <sheetFormatPr defaultColWidth="9.140625" defaultRowHeight="18" x14ac:dyDescent="0.35"/>
  <cols>
    <col min="1" max="1" width="48.7109375" style="134" customWidth="1"/>
    <col min="2" max="2" width="9.85546875" style="134" customWidth="1"/>
    <col min="3" max="4" width="9.140625" style="134" customWidth="1"/>
    <col min="5" max="5" width="9.5703125" style="134" customWidth="1"/>
    <col min="6" max="6" width="9.28515625" style="134" customWidth="1"/>
    <col min="7" max="7" width="11.140625" style="134" customWidth="1"/>
    <col min="8" max="8" width="12.42578125" style="134" customWidth="1"/>
    <col min="9" max="9" width="10.85546875" style="134" customWidth="1"/>
    <col min="10" max="10" width="10" style="134" bestFit="1" customWidth="1"/>
    <col min="11" max="12" width="9.140625" style="134"/>
    <col min="13" max="13" width="9.85546875" style="134" bestFit="1" customWidth="1"/>
    <col min="14" max="16384" width="9.140625" style="134"/>
  </cols>
  <sheetData>
    <row r="1" spans="1:13" ht="62.1" customHeight="1" x14ac:dyDescent="0.35">
      <c r="A1" s="133" t="s">
        <v>195</v>
      </c>
      <c r="B1" s="133"/>
      <c r="C1" s="133"/>
      <c r="D1" s="133"/>
      <c r="E1" s="133"/>
      <c r="F1" s="133"/>
      <c r="G1" s="133"/>
      <c r="H1" s="133"/>
      <c r="I1" s="133"/>
    </row>
    <row r="2" spans="1:13" s="138" customFormat="1" ht="12.75" x14ac:dyDescent="0.25">
      <c r="A2" s="135"/>
      <c r="B2" s="136" t="s">
        <v>71</v>
      </c>
      <c r="C2" s="137"/>
      <c r="D2" s="137"/>
      <c r="E2" s="137"/>
      <c r="F2" s="137"/>
      <c r="G2" s="137"/>
      <c r="H2" s="137"/>
      <c r="I2" s="137"/>
    </row>
    <row r="3" spans="1:13" s="142" customFormat="1" ht="88.5" customHeight="1" x14ac:dyDescent="0.25">
      <c r="A3" s="139"/>
      <c r="B3" s="140" t="s">
        <v>196</v>
      </c>
      <c r="C3" s="140" t="s">
        <v>197</v>
      </c>
      <c r="D3" s="140" t="s">
        <v>36</v>
      </c>
      <c r="E3" s="140" t="s">
        <v>37</v>
      </c>
      <c r="F3" s="140" t="s">
        <v>198</v>
      </c>
      <c r="G3" s="140" t="s">
        <v>199</v>
      </c>
      <c r="H3" s="140" t="s">
        <v>41</v>
      </c>
      <c r="I3" s="141" t="s">
        <v>200</v>
      </c>
    </row>
    <row r="4" spans="1:13" s="138" customFormat="1" ht="15" customHeight="1" x14ac:dyDescent="0.25">
      <c r="A4" s="143" t="s">
        <v>201</v>
      </c>
      <c r="B4" s="144">
        <v>3707</v>
      </c>
      <c r="C4" s="145">
        <v>38412</v>
      </c>
      <c r="D4" s="145">
        <v>0</v>
      </c>
      <c r="E4" s="145">
        <v>44829</v>
      </c>
      <c r="F4" s="146">
        <v>21</v>
      </c>
      <c r="G4" s="144">
        <f>B4+D4+C4+E4+F4</f>
        <v>86969</v>
      </c>
      <c r="H4" s="147">
        <v>0</v>
      </c>
      <c r="I4" s="145">
        <f>G4+H4</f>
        <v>86969</v>
      </c>
    </row>
    <row r="5" spans="1:13" s="138" customFormat="1" ht="15" customHeight="1" x14ac:dyDescent="0.25">
      <c r="A5" s="143" t="s">
        <v>202</v>
      </c>
      <c r="B5" s="148">
        <v>0</v>
      </c>
      <c r="C5" s="148">
        <v>0</v>
      </c>
      <c r="D5" s="148">
        <v>0</v>
      </c>
      <c r="E5" s="148">
        <f>RZIS_s!D39/1000</f>
        <v>9431</v>
      </c>
      <c r="F5" s="149">
        <v>0</v>
      </c>
      <c r="G5" s="150">
        <f>B5+D5+C5+E5+F5</f>
        <v>9431</v>
      </c>
      <c r="H5" s="151">
        <v>0</v>
      </c>
      <c r="I5" s="148">
        <f t="shared" ref="I5:I9" si="0">G5+H5</f>
        <v>9431</v>
      </c>
    </row>
    <row r="6" spans="1:13" s="138" customFormat="1" ht="15" customHeight="1" x14ac:dyDescent="0.25">
      <c r="A6" s="152" t="s">
        <v>203</v>
      </c>
      <c r="B6" s="148">
        <v>0</v>
      </c>
      <c r="C6" s="148">
        <v>0</v>
      </c>
      <c r="D6" s="148">
        <v>0</v>
      </c>
      <c r="E6" s="148">
        <v>0</v>
      </c>
      <c r="F6" s="149">
        <v>29</v>
      </c>
      <c r="G6" s="150">
        <f>B6+D6+C6+E6+F6</f>
        <v>29</v>
      </c>
      <c r="H6" s="151">
        <v>0</v>
      </c>
      <c r="I6" s="148">
        <f t="shared" si="0"/>
        <v>29</v>
      </c>
    </row>
    <row r="7" spans="1:13" s="138" customFormat="1" ht="15" customHeight="1" x14ac:dyDescent="0.25">
      <c r="A7" s="152" t="s">
        <v>204</v>
      </c>
      <c r="B7" s="144">
        <f>B5+B6</f>
        <v>0</v>
      </c>
      <c r="C7" s="145">
        <f>C5+C6</f>
        <v>0</v>
      </c>
      <c r="D7" s="145">
        <f t="shared" ref="D7:H7" si="1">D5+D6</f>
        <v>0</v>
      </c>
      <c r="E7" s="145">
        <f t="shared" si="1"/>
        <v>9431</v>
      </c>
      <c r="F7" s="146">
        <f t="shared" si="1"/>
        <v>29</v>
      </c>
      <c r="G7" s="144">
        <f t="shared" si="1"/>
        <v>9460</v>
      </c>
      <c r="H7" s="147">
        <f t="shared" si="1"/>
        <v>0</v>
      </c>
      <c r="I7" s="145">
        <f t="shared" si="0"/>
        <v>9460</v>
      </c>
    </row>
    <row r="8" spans="1:13" s="138" customFormat="1" ht="15" customHeight="1" x14ac:dyDescent="0.25">
      <c r="A8" s="152" t="s">
        <v>205</v>
      </c>
      <c r="B8" s="144">
        <v>0</v>
      </c>
      <c r="C8" s="145">
        <v>0</v>
      </c>
      <c r="D8" s="145">
        <v>0</v>
      </c>
      <c r="E8" s="145">
        <v>-1323</v>
      </c>
      <c r="F8" s="146">
        <v>0</v>
      </c>
      <c r="G8" s="144">
        <f>B8+D8+C8+E8+F8</f>
        <v>-1323</v>
      </c>
      <c r="H8" s="147">
        <v>0</v>
      </c>
      <c r="I8" s="145">
        <f t="shared" si="0"/>
        <v>-1323</v>
      </c>
    </row>
    <row r="9" spans="1:13" s="138" customFormat="1" ht="15" customHeight="1" x14ac:dyDescent="0.25">
      <c r="A9" s="153" t="s">
        <v>206</v>
      </c>
      <c r="B9" s="144">
        <f t="shared" ref="B9:H9" si="2">B7+B8</f>
        <v>0</v>
      </c>
      <c r="C9" s="145">
        <f>C7+C8</f>
        <v>0</v>
      </c>
      <c r="D9" s="145">
        <f t="shared" si="2"/>
        <v>0</v>
      </c>
      <c r="E9" s="145">
        <f t="shared" si="2"/>
        <v>8108</v>
      </c>
      <c r="F9" s="145">
        <f t="shared" si="2"/>
        <v>29</v>
      </c>
      <c r="G9" s="144">
        <f t="shared" si="2"/>
        <v>8137</v>
      </c>
      <c r="H9" s="147">
        <f t="shared" si="2"/>
        <v>0</v>
      </c>
      <c r="I9" s="145">
        <f t="shared" si="0"/>
        <v>8137</v>
      </c>
    </row>
    <row r="10" spans="1:13" s="138" customFormat="1" ht="15" customHeight="1" x14ac:dyDescent="0.25">
      <c r="A10" s="154" t="s">
        <v>207</v>
      </c>
      <c r="B10" s="148">
        <f>B4+B9</f>
        <v>3707</v>
      </c>
      <c r="C10" s="148">
        <f>C4+C9</f>
        <v>38412</v>
      </c>
      <c r="D10" s="148">
        <f t="shared" ref="D10:I10" si="3">D4+D9</f>
        <v>0</v>
      </c>
      <c r="E10" s="148">
        <f t="shared" si="3"/>
        <v>52937</v>
      </c>
      <c r="F10" s="148">
        <f t="shared" si="3"/>
        <v>50</v>
      </c>
      <c r="G10" s="155">
        <f t="shared" si="3"/>
        <v>95106</v>
      </c>
      <c r="H10" s="156">
        <f t="shared" si="3"/>
        <v>0</v>
      </c>
      <c r="I10" s="148">
        <f t="shared" si="3"/>
        <v>95106</v>
      </c>
    </row>
    <row r="11" spans="1:13" s="138" customFormat="1" ht="28.5" customHeight="1" x14ac:dyDescent="0.25">
      <c r="A11" s="158"/>
      <c r="B11" s="159"/>
      <c r="C11" s="159"/>
      <c r="D11" s="159"/>
      <c r="E11" s="159"/>
      <c r="F11" s="159"/>
      <c r="G11" s="159"/>
      <c r="H11" s="159"/>
      <c r="I11" s="159"/>
      <c r="M11" s="160"/>
    </row>
    <row r="12" spans="1:13" s="138" customFormat="1" ht="15" customHeight="1" x14ac:dyDescent="0.25">
      <c r="A12" s="161" t="s">
        <v>208</v>
      </c>
      <c r="B12" s="144">
        <f>B10</f>
        <v>3707</v>
      </c>
      <c r="C12" s="145">
        <f>C10</f>
        <v>38412</v>
      </c>
      <c r="D12" s="145">
        <v>0</v>
      </c>
      <c r="E12" s="145">
        <f>E10</f>
        <v>52937</v>
      </c>
      <c r="F12" s="145">
        <f>F10</f>
        <v>50</v>
      </c>
      <c r="G12" s="144">
        <f>B12+D12+C12+E12+F12</f>
        <v>95106</v>
      </c>
      <c r="H12" s="147">
        <v>0</v>
      </c>
      <c r="I12" s="145">
        <f t="shared" ref="I12:I19" si="4">G12+H12</f>
        <v>95106</v>
      </c>
    </row>
    <row r="13" spans="1:13" s="138" customFormat="1" ht="15" customHeight="1" x14ac:dyDescent="0.25">
      <c r="A13" s="161" t="s">
        <v>202</v>
      </c>
      <c r="B13" s="150">
        <v>0</v>
      </c>
      <c r="C13" s="148">
        <v>0</v>
      </c>
      <c r="D13" s="148">
        <v>0</v>
      </c>
      <c r="E13" s="148">
        <f>RZIS_s!C39/1000</f>
        <v>7454</v>
      </c>
      <c r="F13" s="148">
        <v>0</v>
      </c>
      <c r="G13" s="162">
        <f>B13+D13+C13+E13+F13</f>
        <v>7454</v>
      </c>
      <c r="H13" s="148">
        <f>RZIS_s!C40/1000</f>
        <v>9610</v>
      </c>
      <c r="I13" s="162">
        <f t="shared" si="4"/>
        <v>17064</v>
      </c>
    </row>
    <row r="14" spans="1:13" s="138" customFormat="1" ht="15" customHeight="1" x14ac:dyDescent="0.25">
      <c r="A14" s="163" t="s">
        <v>203</v>
      </c>
      <c r="B14" s="150">
        <v>0</v>
      </c>
      <c r="C14" s="148">
        <v>0</v>
      </c>
      <c r="D14" s="148">
        <v>0</v>
      </c>
      <c r="E14" s="148">
        <v>0</v>
      </c>
      <c r="F14" s="148">
        <v>-117</v>
      </c>
      <c r="G14" s="150">
        <f>B14+D14+C14+E14+F14</f>
        <v>-117</v>
      </c>
      <c r="H14" s="148">
        <v>0</v>
      </c>
      <c r="I14" s="150">
        <f t="shared" si="4"/>
        <v>-117</v>
      </c>
    </row>
    <row r="15" spans="1:13" s="138" customFormat="1" ht="15" customHeight="1" x14ac:dyDescent="0.25">
      <c r="A15" s="164" t="s">
        <v>204</v>
      </c>
      <c r="B15" s="144">
        <f>B13+B14</f>
        <v>0</v>
      </c>
      <c r="C15" s="145">
        <f t="shared" ref="C15:H15" si="5">C13+C14</f>
        <v>0</v>
      </c>
      <c r="D15" s="145">
        <f t="shared" si="5"/>
        <v>0</v>
      </c>
      <c r="E15" s="145">
        <f t="shared" si="5"/>
        <v>7454</v>
      </c>
      <c r="F15" s="145">
        <f t="shared" si="5"/>
        <v>-117</v>
      </c>
      <c r="G15" s="144">
        <f t="shared" si="5"/>
        <v>7337</v>
      </c>
      <c r="H15" s="145">
        <f t="shared" si="5"/>
        <v>9610</v>
      </c>
      <c r="I15" s="144">
        <f t="shared" si="4"/>
        <v>16947</v>
      </c>
    </row>
    <row r="16" spans="1:13" s="138" customFormat="1" ht="15" customHeight="1" x14ac:dyDescent="0.25">
      <c r="A16" s="163" t="s">
        <v>209</v>
      </c>
      <c r="B16" s="150">
        <v>0</v>
      </c>
      <c r="C16" s="148">
        <v>0</v>
      </c>
      <c r="D16" s="148">
        <v>0</v>
      </c>
      <c r="E16" s="148">
        <v>34254</v>
      </c>
      <c r="F16" s="148">
        <v>0</v>
      </c>
      <c r="G16" s="150">
        <f>B16+D16+C16+E16+F16</f>
        <v>34254</v>
      </c>
      <c r="H16" s="148">
        <v>70799</v>
      </c>
      <c r="I16" s="150">
        <f t="shared" si="4"/>
        <v>105053</v>
      </c>
    </row>
    <row r="17" spans="1:10" s="138" customFormat="1" ht="15" customHeight="1" x14ac:dyDescent="0.25">
      <c r="A17" s="163" t="s">
        <v>210</v>
      </c>
      <c r="B17" s="150">
        <v>0</v>
      </c>
      <c r="C17" s="148">
        <v>0</v>
      </c>
      <c r="D17" s="148">
        <v>0</v>
      </c>
      <c r="E17" s="148">
        <v>0</v>
      </c>
      <c r="F17" s="148">
        <v>0</v>
      </c>
      <c r="G17" s="150">
        <f>B17+D17+C17+E17+F17</f>
        <v>0</v>
      </c>
      <c r="H17" s="148">
        <v>2047</v>
      </c>
      <c r="I17" s="150">
        <f t="shared" si="4"/>
        <v>2047</v>
      </c>
    </row>
    <row r="18" spans="1:10" s="138" customFormat="1" ht="15" customHeight="1" x14ac:dyDescent="0.25">
      <c r="A18" s="163" t="s">
        <v>211</v>
      </c>
      <c r="B18" s="150">
        <v>0</v>
      </c>
      <c r="C18" s="148">
        <v>0</v>
      </c>
      <c r="D18" s="148">
        <v>257</v>
      </c>
      <c r="E18" s="148">
        <v>0</v>
      </c>
      <c r="F18" s="148">
        <v>0</v>
      </c>
      <c r="G18" s="150">
        <f>B18+D18+C18+E18+F18</f>
        <v>257</v>
      </c>
      <c r="H18" s="148">
        <v>0</v>
      </c>
      <c r="I18" s="150">
        <f t="shared" si="4"/>
        <v>257</v>
      </c>
    </row>
    <row r="19" spans="1:10" s="138" customFormat="1" ht="15" customHeight="1" x14ac:dyDescent="0.25">
      <c r="A19" s="165" t="s">
        <v>212</v>
      </c>
      <c r="B19" s="150">
        <v>0</v>
      </c>
      <c r="C19" s="148">
        <v>0</v>
      </c>
      <c r="D19" s="148">
        <v>0</v>
      </c>
      <c r="E19" s="148">
        <v>-3954</v>
      </c>
      <c r="F19" s="148">
        <v>0</v>
      </c>
      <c r="G19" s="150">
        <f>B19+D19+C19+E19+F19</f>
        <v>-3954</v>
      </c>
      <c r="H19" s="148">
        <v>0</v>
      </c>
      <c r="I19" s="150">
        <f t="shared" si="4"/>
        <v>-3954</v>
      </c>
    </row>
    <row r="20" spans="1:10" s="138" customFormat="1" ht="15" customHeight="1" x14ac:dyDescent="0.25">
      <c r="A20" s="163" t="s">
        <v>206</v>
      </c>
      <c r="B20" s="144">
        <f>B15+B16+B17+B18+B19</f>
        <v>0</v>
      </c>
      <c r="C20" s="145">
        <f>C15+C16+C17+C18+C19</f>
        <v>0</v>
      </c>
      <c r="D20" s="145">
        <f t="shared" ref="D20:I20" si="6">D15+D16+D17+D18+D19</f>
        <v>257</v>
      </c>
      <c r="E20" s="145">
        <f t="shared" si="6"/>
        <v>37754</v>
      </c>
      <c r="F20" s="145">
        <f t="shared" si="6"/>
        <v>-117</v>
      </c>
      <c r="G20" s="144">
        <f t="shared" si="6"/>
        <v>37894</v>
      </c>
      <c r="H20" s="147">
        <f t="shared" si="6"/>
        <v>82456</v>
      </c>
      <c r="I20" s="145">
        <f t="shared" si="6"/>
        <v>120350</v>
      </c>
    </row>
    <row r="21" spans="1:10" s="138" customFormat="1" ht="15" customHeight="1" x14ac:dyDescent="0.25">
      <c r="A21" s="166" t="s">
        <v>213</v>
      </c>
      <c r="B21" s="144">
        <f>B12+B20</f>
        <v>3707</v>
      </c>
      <c r="C21" s="145">
        <f>C12+C20</f>
        <v>38412</v>
      </c>
      <c r="D21" s="145">
        <f t="shared" ref="D21:I21" si="7">D12+D20</f>
        <v>257</v>
      </c>
      <c r="E21" s="145">
        <f t="shared" si="7"/>
        <v>90691</v>
      </c>
      <c r="F21" s="145">
        <f t="shared" si="7"/>
        <v>-67</v>
      </c>
      <c r="G21" s="144">
        <f t="shared" si="7"/>
        <v>133000</v>
      </c>
      <c r="H21" s="147">
        <f t="shared" si="7"/>
        <v>82456</v>
      </c>
      <c r="I21" s="145">
        <f t="shared" si="7"/>
        <v>215456</v>
      </c>
      <c r="J21" s="157">
        <f>(Bilans_s!C35+Bilans_s!C43)/1000</f>
        <v>215456</v>
      </c>
    </row>
    <row r="22" spans="1:10" ht="17.25" customHeight="1" x14ac:dyDescent="0.35"/>
    <row r="23" spans="1:10" ht="30" customHeight="1" x14ac:dyDescent="0.35"/>
    <row r="24" spans="1:10" ht="16.5" customHeight="1" x14ac:dyDescent="0.35"/>
    <row r="30" spans="1:10" ht="19.5" x14ac:dyDescent="0.4">
      <c r="A30" s="167" t="s">
        <v>113</v>
      </c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7" fitToHeight="0" orientation="portrait" r:id="rId1"/>
  <headerFooter>
    <oddHeader>&amp;L&amp;"Lato Light,Regular"&amp;8&amp;KE73E2ARoczne skonsolidowane sprawozdanie finansowe Grupy Ailleron SA za okres od 1 stycznia 2021 r. do 31 grudnia 2021 r.
(wszystkie kwoty podano w tys. PLN,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CEADD-7959-4FAA-B87A-EA0BEC619F3A}">
  <sheetPr>
    <pageSetUpPr fitToPage="1"/>
  </sheetPr>
  <dimension ref="A1:H67"/>
  <sheetViews>
    <sheetView showGridLines="0" view="pageBreakPreview" topLeftCell="A40" zoomScale="115" zoomScaleNormal="100" zoomScaleSheetLayoutView="115" workbookViewId="0">
      <selection activeCell="D57" sqref="D57"/>
    </sheetView>
  </sheetViews>
  <sheetFormatPr defaultRowHeight="15" x14ac:dyDescent="0.25"/>
  <cols>
    <col min="1" max="1" width="50.140625" style="12" customWidth="1"/>
    <col min="2" max="2" width="7.85546875" style="60" customWidth="1"/>
    <col min="3" max="3" width="15.5703125" style="12" customWidth="1"/>
    <col min="4" max="4" width="14.42578125" style="12" customWidth="1"/>
    <col min="5" max="5" width="21.85546875" style="12" bestFit="1" customWidth="1"/>
    <col min="6" max="16384" width="9.140625" style="12"/>
  </cols>
  <sheetData>
    <row r="1" spans="1:7" s="3" customFormat="1" ht="30.6" customHeight="1" x14ac:dyDescent="0.25">
      <c r="A1" s="1" t="s">
        <v>214</v>
      </c>
      <c r="B1" s="1"/>
      <c r="C1" s="1"/>
      <c r="D1" s="1"/>
      <c r="E1" s="2"/>
    </row>
    <row r="2" spans="1:7" s="6" customFormat="1" ht="25.35" customHeight="1" x14ac:dyDescent="0.35">
      <c r="A2" s="4" t="s">
        <v>1</v>
      </c>
      <c r="B2" s="4"/>
      <c r="C2" s="4"/>
      <c r="D2" s="4"/>
      <c r="E2" s="5"/>
    </row>
    <row r="3" spans="1:7" s="6" customFormat="1" ht="25.35" customHeight="1" x14ac:dyDescent="0.35">
      <c r="A3" s="7" t="s">
        <v>2</v>
      </c>
      <c r="B3" s="7"/>
      <c r="C3" s="7"/>
      <c r="D3" s="7"/>
      <c r="E3" s="9"/>
    </row>
    <row r="4" spans="1:7" ht="36" customHeight="1" x14ac:dyDescent="0.25">
      <c r="A4" s="11" t="s">
        <v>215</v>
      </c>
      <c r="B4" s="11"/>
      <c r="C4" s="11"/>
      <c r="D4" s="11"/>
    </row>
    <row r="5" spans="1:7" ht="16.5" x14ac:dyDescent="0.25">
      <c r="A5" s="13" t="s">
        <v>4</v>
      </c>
      <c r="B5" s="14" t="s">
        <v>5</v>
      </c>
      <c r="C5" s="15" t="s">
        <v>6</v>
      </c>
      <c r="D5" s="15"/>
    </row>
    <row r="6" spans="1:7" ht="33" x14ac:dyDescent="0.25">
      <c r="A6" s="16"/>
      <c r="B6" s="17"/>
      <c r="C6" s="18" t="s">
        <v>7</v>
      </c>
      <c r="D6" s="18" t="s">
        <v>8</v>
      </c>
    </row>
    <row r="7" spans="1:7" ht="18" x14ac:dyDescent="0.25">
      <c r="A7" s="19"/>
      <c r="B7" s="20"/>
      <c r="C7" s="21"/>
      <c r="D7" s="21"/>
    </row>
    <row r="8" spans="1:7" s="170" customFormat="1" ht="15" customHeight="1" x14ac:dyDescent="0.25">
      <c r="A8" s="22" t="s">
        <v>9</v>
      </c>
      <c r="B8" s="23"/>
      <c r="C8" s="168">
        <f>SUM(C9:C14)</f>
        <v>65559</v>
      </c>
      <c r="D8" s="168">
        <f>SUM(D9:D14)</f>
        <v>31937</v>
      </c>
      <c r="E8" s="169"/>
    </row>
    <row r="9" spans="1:7" s="170" customFormat="1" ht="15" customHeight="1" x14ac:dyDescent="0.25">
      <c r="A9" s="25" t="s">
        <v>10</v>
      </c>
      <c r="B9" s="28">
        <v>15</v>
      </c>
      <c r="C9" s="171">
        <v>13232</v>
      </c>
      <c r="D9" s="171">
        <f>25915-882</f>
        <v>25033</v>
      </c>
      <c r="E9" s="169"/>
      <c r="F9" s="172"/>
      <c r="G9" s="173"/>
    </row>
    <row r="10" spans="1:7" s="170" customFormat="1" ht="15" customHeight="1" x14ac:dyDescent="0.25">
      <c r="A10" s="25" t="s">
        <v>13</v>
      </c>
      <c r="B10" s="28">
        <v>17</v>
      </c>
      <c r="C10" s="171">
        <v>13851</v>
      </c>
      <c r="D10" s="171">
        <f>6146-1956</f>
        <v>4190</v>
      </c>
      <c r="E10" s="169"/>
      <c r="F10" s="172"/>
    </row>
    <row r="11" spans="1:7" s="170" customFormat="1" ht="15" customHeight="1" x14ac:dyDescent="0.25">
      <c r="A11" s="25" t="s">
        <v>14</v>
      </c>
      <c r="B11" s="28">
        <v>18</v>
      </c>
      <c r="C11" s="171">
        <v>31205</v>
      </c>
      <c r="D11" s="171">
        <v>626</v>
      </c>
      <c r="E11" s="169"/>
      <c r="F11" s="172"/>
    </row>
    <row r="12" spans="1:7" s="170" customFormat="1" ht="15" customHeight="1" x14ac:dyDescent="0.25">
      <c r="A12" s="25" t="s">
        <v>15</v>
      </c>
      <c r="B12" s="28">
        <v>10</v>
      </c>
      <c r="C12" s="171">
        <f>3089+265-3354</f>
        <v>0</v>
      </c>
      <c r="D12" s="171">
        <f>2331-737</f>
        <v>1594</v>
      </c>
      <c r="E12" s="169"/>
      <c r="F12" s="172"/>
    </row>
    <row r="13" spans="1:7" s="170" customFormat="1" ht="15" customHeight="1" x14ac:dyDescent="0.25">
      <c r="A13" s="25" t="s">
        <v>216</v>
      </c>
      <c r="B13" s="28"/>
      <c r="C13" s="171">
        <v>7001</v>
      </c>
      <c r="D13" s="174">
        <v>0</v>
      </c>
      <c r="E13" s="169"/>
      <c r="F13" s="172"/>
    </row>
    <row r="14" spans="1:7" s="170" customFormat="1" ht="15" customHeight="1" x14ac:dyDescent="0.25">
      <c r="A14" s="25" t="s">
        <v>17</v>
      </c>
      <c r="B14" s="30">
        <v>20</v>
      </c>
      <c r="C14" s="171">
        <v>270</v>
      </c>
      <c r="D14" s="171">
        <f>494</f>
        <v>494</v>
      </c>
      <c r="E14" s="169"/>
      <c r="F14" s="172"/>
    </row>
    <row r="15" spans="1:7" s="170" customFormat="1" ht="15" customHeight="1" x14ac:dyDescent="0.25">
      <c r="A15" s="22" t="s">
        <v>18</v>
      </c>
      <c r="B15" s="23"/>
      <c r="C15" s="168">
        <f>SUM(C16:C24)</f>
        <v>58124</v>
      </c>
      <c r="D15" s="168">
        <f>SUM(D16:D24)</f>
        <v>38367</v>
      </c>
      <c r="E15" s="169"/>
      <c r="F15" s="172"/>
    </row>
    <row r="16" spans="1:7" s="170" customFormat="1" ht="15" customHeight="1" x14ac:dyDescent="0.25">
      <c r="A16" s="25" t="s">
        <v>19</v>
      </c>
      <c r="B16" s="30">
        <v>21</v>
      </c>
      <c r="C16" s="171">
        <v>229</v>
      </c>
      <c r="D16" s="171">
        <v>3044</v>
      </c>
      <c r="E16" s="169"/>
      <c r="F16" s="172"/>
    </row>
    <row r="17" spans="1:8" s="170" customFormat="1" ht="15" customHeight="1" x14ac:dyDescent="0.25">
      <c r="A17" s="25" t="s">
        <v>217</v>
      </c>
      <c r="B17" s="28">
        <v>22</v>
      </c>
      <c r="C17" s="171">
        <v>13936</v>
      </c>
      <c r="D17" s="171">
        <f>13354-D18</f>
        <v>13324</v>
      </c>
      <c r="E17" s="175"/>
      <c r="F17" s="175"/>
      <c r="G17" s="175"/>
      <c r="H17" s="175"/>
    </row>
    <row r="18" spans="1:8" s="170" customFormat="1" ht="15" customHeight="1" x14ac:dyDescent="0.25">
      <c r="A18" s="25" t="s">
        <v>21</v>
      </c>
      <c r="B18" s="28"/>
      <c r="C18" s="171">
        <f>943-56</f>
        <v>887</v>
      </c>
      <c r="D18" s="174">
        <v>30</v>
      </c>
      <c r="E18" s="175"/>
      <c r="F18" s="175"/>
      <c r="G18" s="175"/>
      <c r="H18" s="175"/>
    </row>
    <row r="19" spans="1:8" s="170" customFormat="1" ht="15" customHeight="1" x14ac:dyDescent="0.25">
      <c r="A19" s="25" t="s">
        <v>216</v>
      </c>
      <c r="B19" s="28"/>
      <c r="C19" s="171">
        <v>1865</v>
      </c>
      <c r="D19" s="174">
        <v>0</v>
      </c>
      <c r="E19" s="175"/>
      <c r="F19" s="175"/>
      <c r="G19" s="175"/>
      <c r="H19" s="175"/>
    </row>
    <row r="20" spans="1:8" s="170" customFormat="1" ht="15" customHeight="1" x14ac:dyDescent="0.25">
      <c r="A20" s="25" t="s">
        <v>22</v>
      </c>
      <c r="B20" s="28">
        <v>6.23</v>
      </c>
      <c r="C20" s="171">
        <v>3822</v>
      </c>
      <c r="D20" s="171">
        <v>6418</v>
      </c>
      <c r="E20" s="169"/>
      <c r="F20" s="172"/>
    </row>
    <row r="21" spans="1:8" s="170" customFormat="1" ht="15" customHeight="1" x14ac:dyDescent="0.25">
      <c r="A21" s="25" t="s">
        <v>16</v>
      </c>
      <c r="B21" s="30">
        <v>19</v>
      </c>
      <c r="C21" s="171">
        <v>1396</v>
      </c>
      <c r="D21" s="171">
        <v>2899</v>
      </c>
      <c r="E21" s="169"/>
      <c r="F21" s="172"/>
      <c r="H21" s="172"/>
    </row>
    <row r="22" spans="1:8" s="170" customFormat="1" ht="15" customHeight="1" x14ac:dyDescent="0.25">
      <c r="A22" s="25" t="s">
        <v>218</v>
      </c>
      <c r="B22" s="30"/>
      <c r="C22" s="171">
        <v>731</v>
      </c>
      <c r="D22" s="174">
        <v>0</v>
      </c>
      <c r="E22" s="169"/>
      <c r="F22" s="172"/>
      <c r="H22" s="172"/>
    </row>
    <row r="23" spans="1:8" s="170" customFormat="1" ht="15" customHeight="1" x14ac:dyDescent="0.25">
      <c r="A23" s="25" t="s">
        <v>25</v>
      </c>
      <c r="B23" s="30">
        <v>10</v>
      </c>
      <c r="C23" s="171">
        <v>703</v>
      </c>
      <c r="D23" s="176">
        <v>976</v>
      </c>
      <c r="E23" s="169"/>
      <c r="F23" s="177"/>
    </row>
    <row r="24" spans="1:8" s="170" customFormat="1" ht="15" customHeight="1" x14ac:dyDescent="0.25">
      <c r="A24" s="25" t="s">
        <v>27</v>
      </c>
      <c r="B24" s="30">
        <v>36</v>
      </c>
      <c r="C24" s="178">
        <v>34555</v>
      </c>
      <c r="D24" s="179">
        <v>11676</v>
      </c>
      <c r="E24" s="169"/>
      <c r="F24" s="172"/>
    </row>
    <row r="25" spans="1:8" s="170" customFormat="1" ht="15" customHeight="1" x14ac:dyDescent="0.25">
      <c r="A25" s="180" t="s">
        <v>219</v>
      </c>
      <c r="B25" s="181">
        <v>12</v>
      </c>
      <c r="C25" s="182">
        <v>0</v>
      </c>
      <c r="D25" s="179">
        <v>62577</v>
      </c>
      <c r="E25" s="169"/>
      <c r="F25" s="172"/>
    </row>
    <row r="26" spans="1:8" s="170" customFormat="1" ht="15" customHeight="1" x14ac:dyDescent="0.25">
      <c r="A26" s="32" t="s">
        <v>29</v>
      </c>
      <c r="B26" s="33"/>
      <c r="C26" s="183">
        <f>C8+C15</f>
        <v>123683</v>
      </c>
      <c r="D26" s="183">
        <f>D8+D15+D25</f>
        <v>132881</v>
      </c>
      <c r="E26" s="169"/>
      <c r="F26" s="172"/>
    </row>
    <row r="27" spans="1:8" ht="15" customHeight="1" x14ac:dyDescent="0.25">
      <c r="A27" s="184"/>
      <c r="B27" s="37"/>
      <c r="C27" s="185"/>
      <c r="D27" s="185"/>
      <c r="E27" s="186"/>
      <c r="F27" s="80"/>
    </row>
    <row r="28" spans="1:8" x14ac:dyDescent="0.25">
      <c r="A28" s="184"/>
      <c r="B28" s="37"/>
      <c r="C28" s="185"/>
      <c r="D28" s="185"/>
      <c r="E28" s="80"/>
      <c r="F28" s="80"/>
    </row>
    <row r="29" spans="1:8" ht="16.5" x14ac:dyDescent="0.25">
      <c r="A29" s="39" t="s">
        <v>220</v>
      </c>
      <c r="B29" s="37"/>
      <c r="C29" s="38"/>
      <c r="D29" s="38"/>
      <c r="E29" s="80"/>
      <c r="F29" s="80"/>
    </row>
    <row r="30" spans="1:8" ht="16.5" x14ac:dyDescent="0.25">
      <c r="A30" s="39"/>
      <c r="B30" s="37"/>
      <c r="C30" s="38"/>
      <c r="D30" s="38"/>
      <c r="E30" s="80"/>
      <c r="F30" s="80"/>
    </row>
    <row r="31" spans="1:8" ht="16.5" x14ac:dyDescent="0.25">
      <c r="A31" s="13" t="s">
        <v>31</v>
      </c>
      <c r="B31" s="14" t="s">
        <v>5</v>
      </c>
      <c r="C31" s="15" t="s">
        <v>6</v>
      </c>
      <c r="D31" s="15"/>
      <c r="E31" s="80"/>
      <c r="F31" s="80"/>
    </row>
    <row r="32" spans="1:8" ht="33" x14ac:dyDescent="0.25">
      <c r="A32" s="16"/>
      <c r="B32" s="17"/>
      <c r="C32" s="18" t="str">
        <f>C6</f>
        <v>Stan na 31/12/2021</v>
      </c>
      <c r="D32" s="18" t="str">
        <f>D6</f>
        <v>Stan na 31/12/2020</v>
      </c>
      <c r="E32" s="80"/>
      <c r="F32" s="80"/>
    </row>
    <row r="33" spans="1:8" s="170" customFormat="1" x14ac:dyDescent="0.25">
      <c r="A33" s="47" t="s">
        <v>32</v>
      </c>
      <c r="B33" s="48"/>
      <c r="C33" s="168">
        <f>SUM(C34:C37)</f>
        <v>85558</v>
      </c>
      <c r="D33" s="168">
        <f>SUM(D34:D37)</f>
        <v>64947</v>
      </c>
      <c r="E33" s="172"/>
      <c r="F33" s="172"/>
      <c r="H33" s="187"/>
    </row>
    <row r="34" spans="1:8" s="170" customFormat="1" x14ac:dyDescent="0.25">
      <c r="A34" s="52" t="s">
        <v>34</v>
      </c>
      <c r="B34" s="55">
        <v>24</v>
      </c>
      <c r="C34" s="188">
        <v>3707</v>
      </c>
      <c r="D34" s="171">
        <v>3707</v>
      </c>
      <c r="E34" s="172"/>
      <c r="F34" s="172"/>
    </row>
    <row r="35" spans="1:8" s="170" customFormat="1" x14ac:dyDescent="0.25">
      <c r="A35" s="52" t="s">
        <v>36</v>
      </c>
      <c r="B35" s="55"/>
      <c r="C35" s="188">
        <v>257</v>
      </c>
      <c r="D35" s="174">
        <v>0</v>
      </c>
      <c r="E35" s="172"/>
      <c r="F35" s="172"/>
    </row>
    <row r="36" spans="1:8" s="170" customFormat="1" x14ac:dyDescent="0.25">
      <c r="A36" s="52" t="s">
        <v>35</v>
      </c>
      <c r="B36" s="55">
        <v>24</v>
      </c>
      <c r="C36" s="188">
        <v>38412</v>
      </c>
      <c r="D36" s="174">
        <v>38412</v>
      </c>
      <c r="E36" s="172"/>
      <c r="F36" s="172"/>
    </row>
    <row r="37" spans="1:8" s="170" customFormat="1" x14ac:dyDescent="0.25">
      <c r="A37" s="52" t="s">
        <v>37</v>
      </c>
      <c r="B37" s="55">
        <v>25</v>
      </c>
      <c r="C37" s="188">
        <f>43025+157</f>
        <v>43182</v>
      </c>
      <c r="D37" s="174">
        <v>22828</v>
      </c>
      <c r="E37" s="172"/>
      <c r="F37" s="172"/>
    </row>
    <row r="38" spans="1:8" s="170" customFormat="1" ht="16.5" x14ac:dyDescent="0.25">
      <c r="A38" s="47" t="s">
        <v>42</v>
      </c>
      <c r="B38" s="48"/>
      <c r="C38" s="168">
        <f>C39+C44</f>
        <v>38125</v>
      </c>
      <c r="D38" s="189">
        <f>D39+D44+D53</f>
        <v>67934</v>
      </c>
      <c r="E38" s="172"/>
      <c r="F38" s="172"/>
    </row>
    <row r="39" spans="1:8" s="170" customFormat="1" ht="16.5" x14ac:dyDescent="0.25">
      <c r="A39" s="49" t="s">
        <v>43</v>
      </c>
      <c r="B39" s="50"/>
      <c r="C39" s="190">
        <f>SUM(C40:C43)</f>
        <v>18155</v>
      </c>
      <c r="D39" s="190">
        <f>SUM(D40:D43)</f>
        <v>22317</v>
      </c>
      <c r="E39" s="172"/>
      <c r="F39" s="172"/>
    </row>
    <row r="40" spans="1:8" s="170" customFormat="1" x14ac:dyDescent="0.25">
      <c r="A40" s="52" t="s">
        <v>45</v>
      </c>
      <c r="B40" s="54" t="s">
        <v>221</v>
      </c>
      <c r="C40" s="171">
        <f>17013-40</f>
        <v>16973</v>
      </c>
      <c r="D40" s="171">
        <v>20868</v>
      </c>
      <c r="E40" s="172"/>
      <c r="F40" s="172"/>
    </row>
    <row r="41" spans="1:8" s="170" customFormat="1" x14ac:dyDescent="0.25">
      <c r="A41" s="52" t="s">
        <v>49</v>
      </c>
      <c r="B41" s="55">
        <v>28</v>
      </c>
      <c r="C41" s="171">
        <v>90</v>
      </c>
      <c r="D41" s="171">
        <v>39</v>
      </c>
      <c r="E41" s="191"/>
      <c r="F41" s="172"/>
      <c r="H41" s="173"/>
    </row>
    <row r="42" spans="1:8" s="170" customFormat="1" x14ac:dyDescent="0.25">
      <c r="A42" s="52" t="s">
        <v>50</v>
      </c>
      <c r="B42" s="55"/>
      <c r="C42" s="192">
        <v>21</v>
      </c>
      <c r="D42" s="192">
        <v>21</v>
      </c>
      <c r="E42" s="169"/>
      <c r="F42" s="172"/>
    </row>
    <row r="43" spans="1:8" s="170" customFormat="1" x14ac:dyDescent="0.25">
      <c r="A43" s="52" t="s">
        <v>52</v>
      </c>
      <c r="B43" s="55">
        <v>10</v>
      </c>
      <c r="C43" s="171">
        <f>4317+108-3354</f>
        <v>1071</v>
      </c>
      <c r="D43" s="171">
        <v>1389</v>
      </c>
      <c r="E43" s="172"/>
      <c r="F43" s="172"/>
    </row>
    <row r="44" spans="1:8" s="170" customFormat="1" ht="16.5" x14ac:dyDescent="0.25">
      <c r="A44" s="57" t="s">
        <v>55</v>
      </c>
      <c r="B44" s="58"/>
      <c r="C44" s="189">
        <f>SUM(C45:C52)</f>
        <v>19970</v>
      </c>
      <c r="D44" s="189">
        <f>SUM(D45:D52)</f>
        <v>32018</v>
      </c>
      <c r="E44" s="172"/>
      <c r="F44" s="172"/>
    </row>
    <row r="45" spans="1:8" s="170" customFormat="1" ht="17.45" customHeight="1" x14ac:dyDescent="0.25">
      <c r="A45" s="52" t="s">
        <v>56</v>
      </c>
      <c r="B45" s="55">
        <v>30</v>
      </c>
      <c r="C45" s="171">
        <v>8381</v>
      </c>
      <c r="D45" s="171">
        <v>6039</v>
      </c>
      <c r="E45" s="169"/>
      <c r="F45" s="172"/>
    </row>
    <row r="46" spans="1:8" s="170" customFormat="1" x14ac:dyDescent="0.25">
      <c r="A46" s="52" t="s">
        <v>58</v>
      </c>
      <c r="B46" s="55">
        <v>26</v>
      </c>
      <c r="C46" s="171">
        <v>56</v>
      </c>
      <c r="D46" s="171">
        <v>15186</v>
      </c>
      <c r="E46" s="169"/>
      <c r="F46" s="172"/>
    </row>
    <row r="47" spans="1:8" s="170" customFormat="1" x14ac:dyDescent="0.25">
      <c r="A47" s="52" t="s">
        <v>60</v>
      </c>
      <c r="B47" s="55">
        <v>27</v>
      </c>
      <c r="C47" s="171">
        <f>4501-16</f>
        <v>4485</v>
      </c>
      <c r="D47" s="171">
        <v>2499</v>
      </c>
      <c r="E47" s="169"/>
      <c r="F47" s="172"/>
    </row>
    <row r="48" spans="1:8" s="170" customFormat="1" x14ac:dyDescent="0.25">
      <c r="A48" s="52" t="s">
        <v>62</v>
      </c>
      <c r="B48" s="55">
        <v>10</v>
      </c>
      <c r="C48" s="174">
        <v>0</v>
      </c>
      <c r="D48" s="174">
        <v>1695</v>
      </c>
      <c r="E48" s="169"/>
      <c r="F48" s="172"/>
      <c r="H48" s="173"/>
    </row>
    <row r="49" spans="1:6" s="170" customFormat="1" x14ac:dyDescent="0.25">
      <c r="A49" s="52" t="s">
        <v>63</v>
      </c>
      <c r="B49" s="55">
        <v>10</v>
      </c>
      <c r="C49" s="171">
        <v>2057</v>
      </c>
      <c r="D49" s="171">
        <v>3347</v>
      </c>
      <c r="E49" s="169"/>
      <c r="F49" s="172"/>
    </row>
    <row r="50" spans="1:6" s="170" customFormat="1" ht="16.5" customHeight="1" x14ac:dyDescent="0.25">
      <c r="A50" s="52" t="s">
        <v>64</v>
      </c>
      <c r="B50" s="55">
        <v>28</v>
      </c>
      <c r="C50" s="174">
        <v>1231</v>
      </c>
      <c r="D50" s="174">
        <v>471</v>
      </c>
      <c r="E50" s="169"/>
      <c r="F50" s="172"/>
    </row>
    <row r="51" spans="1:6" s="170" customFormat="1" ht="16.5" customHeight="1" x14ac:dyDescent="0.25">
      <c r="A51" s="52" t="s">
        <v>54</v>
      </c>
      <c r="B51" s="55">
        <v>32</v>
      </c>
      <c r="C51" s="171">
        <v>644</v>
      </c>
      <c r="D51" s="171">
        <v>825</v>
      </c>
      <c r="E51" s="169"/>
      <c r="F51" s="172"/>
    </row>
    <row r="52" spans="1:6" s="170" customFormat="1" ht="16.5" customHeight="1" x14ac:dyDescent="0.25">
      <c r="A52" s="59" t="s">
        <v>66</v>
      </c>
      <c r="B52" s="55">
        <v>29</v>
      </c>
      <c r="C52" s="193">
        <v>3116</v>
      </c>
      <c r="D52" s="190">
        <v>1956</v>
      </c>
      <c r="E52" s="169"/>
      <c r="F52" s="172"/>
    </row>
    <row r="53" spans="1:6" s="170" customFormat="1" ht="28.5" x14ac:dyDescent="0.25">
      <c r="A53" s="194" t="s">
        <v>222</v>
      </c>
      <c r="B53" s="48">
        <v>12</v>
      </c>
      <c r="C53" s="174">
        <v>0</v>
      </c>
      <c r="D53" s="171">
        <v>13599</v>
      </c>
      <c r="E53" s="169"/>
      <c r="F53" s="172"/>
    </row>
    <row r="54" spans="1:6" s="170" customFormat="1" x14ac:dyDescent="0.25">
      <c r="A54" s="32" t="s">
        <v>68</v>
      </c>
      <c r="B54" s="33"/>
      <c r="C54" s="195">
        <f>C33+C38</f>
        <v>123683</v>
      </c>
      <c r="D54" s="183">
        <f>D33+D38</f>
        <v>132881</v>
      </c>
      <c r="E54" s="169"/>
      <c r="F54" s="172"/>
    </row>
    <row r="55" spans="1:6" x14ac:dyDescent="0.25">
      <c r="E55" s="186"/>
    </row>
    <row r="56" spans="1:6" x14ac:dyDescent="0.25">
      <c r="E56" s="186"/>
    </row>
    <row r="57" spans="1:6" x14ac:dyDescent="0.25">
      <c r="E57" s="186"/>
    </row>
    <row r="58" spans="1:6" x14ac:dyDescent="0.25">
      <c r="E58" s="186"/>
    </row>
    <row r="65" spans="1:3" ht="16.5" x14ac:dyDescent="0.35">
      <c r="A65" s="100"/>
    </row>
    <row r="67" spans="1:3" x14ac:dyDescent="0.25">
      <c r="B67" s="196">
        <f>C54-C26</f>
        <v>0</v>
      </c>
      <c r="C67" s="196">
        <f>D54-D26</f>
        <v>0</v>
      </c>
    </row>
  </sheetData>
  <mergeCells count="16">
    <mergeCell ref="A31:A32"/>
    <mergeCell ref="B31:B32"/>
    <mergeCell ref="C31:D31"/>
    <mergeCell ref="E17:H17"/>
    <mergeCell ref="E18:H18"/>
    <mergeCell ref="E19:H19"/>
    <mergeCell ref="A27:A28"/>
    <mergeCell ref="C27:C28"/>
    <mergeCell ref="D27:D28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headerFooter>
    <oddHeader>&amp;L&amp;"Lato Light,Standardowy"&amp;8&amp;KE73E2ARoczne jednostkowe sprawozdanie finansowe Ailleron SA za okres od 1 stycznia 2021 r. do 31 grudnia 2021 r                                          (wszystkie kwoty podano w tys.PLN, o ile nie wskazano inaczej)</oddHeader>
    <oddFooter>&amp;C&amp;P</oddFooter>
  </headerFooter>
  <rowBreaks count="1" manualBreakCount="1">
    <brk id="27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821F-0C58-43D8-B603-DC8FB43134EB}">
  <sheetPr>
    <pageSetUpPr fitToPage="1"/>
  </sheetPr>
  <dimension ref="A1:L78"/>
  <sheetViews>
    <sheetView showGridLines="0" view="pageBreakPreview" topLeftCell="A45" zoomScale="130" zoomScaleNormal="100" zoomScaleSheetLayoutView="130" workbookViewId="0">
      <selection activeCell="O69" sqref="O69"/>
    </sheetView>
  </sheetViews>
  <sheetFormatPr defaultColWidth="8.85546875" defaultRowHeight="15" x14ac:dyDescent="0.25"/>
  <cols>
    <col min="1" max="1" width="57" style="12" customWidth="1"/>
    <col min="2" max="2" width="8.5703125" style="12" customWidth="1"/>
    <col min="3" max="4" width="13.5703125" style="12" customWidth="1"/>
    <col min="5" max="16384" width="8.85546875" style="12"/>
  </cols>
  <sheetData>
    <row r="1" spans="1:11" ht="49.5" customHeight="1" x14ac:dyDescent="0.25">
      <c r="A1" s="197" t="s">
        <v>223</v>
      </c>
      <c r="B1" s="197"/>
      <c r="C1" s="197"/>
      <c r="D1" s="197"/>
    </row>
    <row r="2" spans="1:11" s="199" customFormat="1" ht="20.25" customHeight="1" x14ac:dyDescent="0.25">
      <c r="A2" s="198"/>
      <c r="B2" s="198"/>
      <c r="C2" s="198"/>
      <c r="D2" s="198"/>
    </row>
    <row r="3" spans="1:11" ht="12.75" customHeight="1" x14ac:dyDescent="0.25">
      <c r="A3" s="65" t="s">
        <v>224</v>
      </c>
      <c r="B3" s="14" t="s">
        <v>5</v>
      </c>
      <c r="C3" s="66" t="s">
        <v>71</v>
      </c>
      <c r="D3" s="66"/>
    </row>
    <row r="4" spans="1:11" ht="39.75" customHeight="1" x14ac:dyDescent="0.25">
      <c r="A4" s="65"/>
      <c r="B4" s="17"/>
      <c r="C4" s="67" t="s">
        <v>225</v>
      </c>
      <c r="D4" s="67" t="s">
        <v>226</v>
      </c>
    </row>
    <row r="5" spans="1:11" x14ac:dyDescent="0.25">
      <c r="A5" s="68" t="s">
        <v>74</v>
      </c>
      <c r="B5" s="68"/>
      <c r="C5" s="70"/>
      <c r="D5" s="70"/>
    </row>
    <row r="6" spans="1:11" s="170" customFormat="1" x14ac:dyDescent="0.25">
      <c r="A6" s="71" t="s">
        <v>75</v>
      </c>
      <c r="B6" s="72" t="s">
        <v>76</v>
      </c>
      <c r="C6" s="200">
        <f>SUM(C7:C8)</f>
        <v>64537</v>
      </c>
      <c r="D6" s="200">
        <f>SUM(D7:D8)</f>
        <v>53435</v>
      </c>
    </row>
    <row r="7" spans="1:11" s="170" customFormat="1" hidden="1" x14ac:dyDescent="0.25">
      <c r="A7" s="74" t="s">
        <v>78</v>
      </c>
      <c r="B7" s="74"/>
      <c r="C7" s="201">
        <v>61758</v>
      </c>
      <c r="D7" s="201">
        <v>51646</v>
      </c>
    </row>
    <row r="8" spans="1:11" s="170" customFormat="1" hidden="1" x14ac:dyDescent="0.25">
      <c r="A8" s="74" t="s">
        <v>79</v>
      </c>
      <c r="B8" s="74"/>
      <c r="C8" s="201">
        <v>2779</v>
      </c>
      <c r="D8" s="201">
        <v>1789</v>
      </c>
    </row>
    <row r="9" spans="1:11" s="170" customFormat="1" x14ac:dyDescent="0.25">
      <c r="A9" s="77" t="s">
        <v>227</v>
      </c>
      <c r="B9" s="77"/>
      <c r="C9" s="202">
        <f>SUM(C10:C11)</f>
        <v>45461</v>
      </c>
      <c r="D9" s="202">
        <f>SUM(D10:D11)</f>
        <v>42381</v>
      </c>
      <c r="F9" s="172"/>
      <c r="K9" s="203"/>
    </row>
    <row r="10" spans="1:11" s="170" customFormat="1" hidden="1" x14ac:dyDescent="0.25">
      <c r="A10" s="74" t="s">
        <v>82</v>
      </c>
      <c r="B10" s="74"/>
      <c r="C10" s="204">
        <v>42987</v>
      </c>
      <c r="D10" s="204">
        <f>80221-39297</f>
        <v>40924</v>
      </c>
    </row>
    <row r="11" spans="1:11" s="170" customFormat="1" hidden="1" x14ac:dyDescent="0.25">
      <c r="A11" s="74" t="s">
        <v>83</v>
      </c>
      <c r="B11" s="74"/>
      <c r="C11" s="204">
        <v>2474</v>
      </c>
      <c r="D11" s="204">
        <f>6811-5354</f>
        <v>1457</v>
      </c>
      <c r="F11" s="172"/>
    </row>
    <row r="12" spans="1:11" s="170" customFormat="1" x14ac:dyDescent="0.25">
      <c r="A12" s="71" t="s">
        <v>84</v>
      </c>
      <c r="B12" s="71"/>
      <c r="C12" s="202">
        <f>C6-C9</f>
        <v>19076</v>
      </c>
      <c r="D12" s="202">
        <f>D6-D9</f>
        <v>11054</v>
      </c>
    </row>
    <row r="13" spans="1:11" s="170" customFormat="1" x14ac:dyDescent="0.25">
      <c r="A13" s="74" t="s">
        <v>85</v>
      </c>
      <c r="B13" s="74"/>
      <c r="C13" s="204">
        <v>10668</v>
      </c>
      <c r="D13" s="204">
        <v>11218</v>
      </c>
    </row>
    <row r="14" spans="1:11" s="170" customFormat="1" x14ac:dyDescent="0.25">
      <c r="A14" s="74" t="s">
        <v>86</v>
      </c>
      <c r="B14" s="74"/>
      <c r="C14" s="204">
        <v>13288</v>
      </c>
      <c r="D14" s="204">
        <v>995</v>
      </c>
      <c r="J14" s="172"/>
    </row>
    <row r="15" spans="1:11" s="170" customFormat="1" x14ac:dyDescent="0.25">
      <c r="A15" s="74" t="s">
        <v>87</v>
      </c>
      <c r="B15" s="81">
        <v>9</v>
      </c>
      <c r="C15" s="201">
        <v>1729</v>
      </c>
      <c r="D15" s="205">
        <v>168</v>
      </c>
    </row>
    <row r="16" spans="1:11" s="170" customFormat="1" x14ac:dyDescent="0.25">
      <c r="A16" s="74" t="s">
        <v>88</v>
      </c>
      <c r="B16" s="81">
        <v>9</v>
      </c>
      <c r="C16" s="205">
        <v>137</v>
      </c>
      <c r="D16" s="205">
        <v>170</v>
      </c>
    </row>
    <row r="17" spans="1:12" s="170" customFormat="1" x14ac:dyDescent="0.25">
      <c r="A17" s="71" t="s">
        <v>89</v>
      </c>
      <c r="B17" s="72"/>
      <c r="C17" s="202">
        <f>C12-C13-C14+C15-C16</f>
        <v>-3288</v>
      </c>
      <c r="D17" s="202">
        <f>D12-D13-D14+D15-D16</f>
        <v>-1161</v>
      </c>
      <c r="H17" s="206"/>
      <c r="I17" s="206"/>
      <c r="J17" s="206"/>
      <c r="K17" s="206"/>
    </row>
    <row r="18" spans="1:12" s="170" customFormat="1" x14ac:dyDescent="0.25">
      <c r="A18" s="74" t="s">
        <v>90</v>
      </c>
      <c r="B18" s="81">
        <v>7</v>
      </c>
      <c r="C18" s="201">
        <v>32771</v>
      </c>
      <c r="D18" s="205">
        <v>224</v>
      </c>
      <c r="E18" s="172"/>
      <c r="H18" s="206"/>
      <c r="I18" s="207"/>
      <c r="J18" s="207"/>
      <c r="K18" s="206"/>
      <c r="L18" s="172"/>
    </row>
    <row r="19" spans="1:12" s="170" customFormat="1" x14ac:dyDescent="0.25">
      <c r="A19" s="74" t="s">
        <v>91</v>
      </c>
      <c r="B19" s="81">
        <v>8</v>
      </c>
      <c r="C19" s="201">
        <v>1589</v>
      </c>
      <c r="D19" s="201">
        <v>3454</v>
      </c>
      <c r="H19" s="206"/>
      <c r="I19" s="206"/>
      <c r="J19" s="206"/>
      <c r="K19" s="206"/>
    </row>
    <row r="20" spans="1:12" s="170" customFormat="1" x14ac:dyDescent="0.25">
      <c r="A20" s="77" t="s">
        <v>94</v>
      </c>
      <c r="B20" s="83"/>
      <c r="C20" s="200">
        <f>C17+C18-C19</f>
        <v>27894</v>
      </c>
      <c r="D20" s="200">
        <f>D17+D18-D19</f>
        <v>-4391</v>
      </c>
      <c r="F20" s="172"/>
      <c r="H20" s="206"/>
      <c r="I20" s="206"/>
      <c r="J20" s="206"/>
      <c r="K20" s="206"/>
    </row>
    <row r="21" spans="1:12" s="170" customFormat="1" x14ac:dyDescent="0.25">
      <c r="A21" s="74"/>
      <c r="B21" s="81"/>
      <c r="C21" s="208"/>
      <c r="D21" s="205"/>
      <c r="H21" s="206"/>
      <c r="I21" s="206"/>
      <c r="J21" s="206"/>
      <c r="K21" s="206"/>
    </row>
    <row r="22" spans="1:12" s="170" customFormat="1" x14ac:dyDescent="0.25">
      <c r="A22" s="77" t="s">
        <v>95</v>
      </c>
      <c r="B22" s="83">
        <v>10</v>
      </c>
      <c r="C22" s="200">
        <f>SUM(C23:C24)</f>
        <v>4757</v>
      </c>
      <c r="D22" s="209">
        <f>SUM(D23:D24)</f>
        <v>627</v>
      </c>
      <c r="H22" s="206"/>
      <c r="I22" s="206"/>
      <c r="J22" s="206"/>
      <c r="K22" s="206"/>
    </row>
    <row r="23" spans="1:12" s="170" customFormat="1" x14ac:dyDescent="0.25">
      <c r="A23" s="74" t="s">
        <v>96</v>
      </c>
      <c r="B23" s="74"/>
      <c r="C23" s="204">
        <v>3106</v>
      </c>
      <c r="D23" s="201">
        <v>1776</v>
      </c>
      <c r="H23" s="206"/>
      <c r="I23" s="206"/>
      <c r="J23" s="206"/>
      <c r="K23" s="206"/>
    </row>
    <row r="24" spans="1:12" s="170" customFormat="1" x14ac:dyDescent="0.25">
      <c r="A24" s="74" t="s">
        <v>97</v>
      </c>
      <c r="B24" s="74"/>
      <c r="C24" s="204">
        <f>1808-157</f>
        <v>1651</v>
      </c>
      <c r="D24" s="204">
        <v>-1149</v>
      </c>
      <c r="H24" s="206"/>
      <c r="I24" s="206"/>
      <c r="J24" s="206"/>
      <c r="K24" s="206"/>
    </row>
    <row r="25" spans="1:12" s="170" customFormat="1" x14ac:dyDescent="0.25">
      <c r="A25" s="77" t="s">
        <v>98</v>
      </c>
      <c r="B25" s="84">
        <v>13</v>
      </c>
      <c r="C25" s="200">
        <f>C20-C22</f>
        <v>23137</v>
      </c>
      <c r="D25" s="202">
        <f>D20-D22</f>
        <v>-5018</v>
      </c>
      <c r="H25" s="206"/>
      <c r="I25" s="206"/>
      <c r="J25" s="206"/>
      <c r="K25" s="206"/>
    </row>
    <row r="26" spans="1:12" s="170" customFormat="1" x14ac:dyDescent="0.25">
      <c r="A26" s="85" t="s">
        <v>99</v>
      </c>
      <c r="B26" s="84">
        <v>11</v>
      </c>
      <c r="C26" s="127"/>
      <c r="D26" s="200"/>
      <c r="H26" s="206"/>
      <c r="I26" s="206"/>
      <c r="J26" s="206"/>
      <c r="K26" s="206"/>
    </row>
    <row r="27" spans="1:12" s="170" customFormat="1" x14ac:dyDescent="0.25">
      <c r="A27" s="210" t="s">
        <v>228</v>
      </c>
      <c r="B27" s="84"/>
      <c r="C27" s="204">
        <v>12095</v>
      </c>
      <c r="D27" s="200">
        <v>62428</v>
      </c>
      <c r="H27" s="206"/>
      <c r="I27" s="206"/>
      <c r="J27" s="206"/>
      <c r="K27" s="206"/>
    </row>
    <row r="28" spans="1:12" s="170" customFormat="1" x14ac:dyDescent="0.25">
      <c r="A28" s="210" t="s">
        <v>229</v>
      </c>
      <c r="B28" s="84"/>
      <c r="C28" s="200">
        <v>10651</v>
      </c>
      <c r="D28" s="200">
        <v>59492</v>
      </c>
      <c r="H28" s="206"/>
      <c r="I28" s="206"/>
      <c r="J28" s="206"/>
      <c r="K28" s="206"/>
    </row>
    <row r="29" spans="1:12" s="170" customFormat="1" x14ac:dyDescent="0.25">
      <c r="A29" s="210" t="s">
        <v>230</v>
      </c>
      <c r="B29" s="84"/>
      <c r="C29" s="204">
        <f>C27-C28</f>
        <v>1444</v>
      </c>
      <c r="D29" s="200">
        <f>D27-D28</f>
        <v>2936</v>
      </c>
    </row>
    <row r="30" spans="1:12" s="170" customFormat="1" x14ac:dyDescent="0.25">
      <c r="A30" s="210" t="s">
        <v>95</v>
      </c>
      <c r="B30" s="84"/>
      <c r="C30" s="200">
        <v>274</v>
      </c>
      <c r="D30" s="200">
        <v>545</v>
      </c>
    </row>
    <row r="31" spans="1:12" s="170" customFormat="1" x14ac:dyDescent="0.25">
      <c r="A31" s="77" t="s">
        <v>100</v>
      </c>
      <c r="B31" s="84">
        <v>11</v>
      </c>
      <c r="C31" s="204">
        <f>C29-C30</f>
        <v>1170</v>
      </c>
      <c r="D31" s="211">
        <f>D29-D30</f>
        <v>2391</v>
      </c>
    </row>
    <row r="32" spans="1:12" s="170" customFormat="1" x14ac:dyDescent="0.25">
      <c r="A32" s="32" t="s">
        <v>231</v>
      </c>
      <c r="B32" s="32"/>
      <c r="C32" s="212">
        <f>C25+C31</f>
        <v>24307</v>
      </c>
      <c r="D32" s="212">
        <f>D25+D31</f>
        <v>-2627</v>
      </c>
    </row>
    <row r="33" spans="1:4" x14ac:dyDescent="0.25">
      <c r="A33" s="213"/>
      <c r="B33" s="213"/>
      <c r="C33" s="214"/>
      <c r="D33" s="215"/>
    </row>
    <row r="34" spans="1:4" x14ac:dyDescent="0.25">
      <c r="A34" s="87"/>
      <c r="B34" s="87"/>
      <c r="C34" s="205"/>
      <c r="D34" s="205"/>
    </row>
    <row r="35" spans="1:4" ht="38.25" customHeight="1" x14ac:dyDescent="0.25">
      <c r="A35" s="197" t="s">
        <v>232</v>
      </c>
      <c r="B35" s="197"/>
      <c r="C35" s="197"/>
      <c r="D35" s="197"/>
    </row>
    <row r="36" spans="1:4" ht="18.75" customHeight="1" x14ac:dyDescent="0.25">
      <c r="A36" s="216"/>
      <c r="B36" s="216"/>
      <c r="C36" s="216"/>
      <c r="D36" s="216"/>
    </row>
    <row r="37" spans="1:4" x14ac:dyDescent="0.25">
      <c r="A37" s="65" t="s">
        <v>224</v>
      </c>
      <c r="B37" s="89" t="s">
        <v>5</v>
      </c>
      <c r="C37" s="66" t="s">
        <v>71</v>
      </c>
      <c r="D37" s="66"/>
    </row>
    <row r="38" spans="1:4" ht="42.75" x14ac:dyDescent="0.25">
      <c r="A38" s="65"/>
      <c r="B38" s="90"/>
      <c r="C38" s="67" t="str">
        <f>C4</f>
        <v>Okres zakończony 31/12/2021</v>
      </c>
      <c r="D38" s="67" t="str">
        <f>D4</f>
        <v>Okres zakończony 31/12/2020</v>
      </c>
    </row>
    <row r="39" spans="1:4" s="170" customFormat="1" x14ac:dyDescent="0.25">
      <c r="A39" s="77" t="s">
        <v>233</v>
      </c>
      <c r="B39" s="91"/>
      <c r="C39" s="217">
        <f>C32</f>
        <v>24307</v>
      </c>
      <c r="D39" s="217">
        <f>D32</f>
        <v>-2627</v>
      </c>
    </row>
    <row r="40" spans="1:4" s="170" customFormat="1" x14ac:dyDescent="0.25">
      <c r="A40" s="74" t="s">
        <v>234</v>
      </c>
      <c r="B40" s="74"/>
      <c r="C40" s="218">
        <f>C32</f>
        <v>24307</v>
      </c>
      <c r="D40" s="218">
        <f>D32</f>
        <v>-2627</v>
      </c>
    </row>
    <row r="41" spans="1:4" s="170" customFormat="1" x14ac:dyDescent="0.25">
      <c r="A41" s="74" t="s">
        <v>107</v>
      </c>
      <c r="B41" s="81">
        <v>14</v>
      </c>
      <c r="C41" s="219"/>
      <c r="D41" s="219"/>
    </row>
    <row r="42" spans="1:4" s="170" customFormat="1" x14ac:dyDescent="0.25">
      <c r="A42" s="74" t="s">
        <v>108</v>
      </c>
      <c r="B42" s="74"/>
      <c r="C42" s="219"/>
      <c r="D42" s="219"/>
    </row>
    <row r="43" spans="1:4" s="170" customFormat="1" x14ac:dyDescent="0.25">
      <c r="A43" s="74" t="s">
        <v>109</v>
      </c>
      <c r="B43" s="74"/>
      <c r="C43" s="205"/>
      <c r="D43" s="205"/>
    </row>
    <row r="44" spans="1:4" s="170" customFormat="1" x14ac:dyDescent="0.25">
      <c r="A44" s="74" t="s">
        <v>110</v>
      </c>
      <c r="B44" s="74"/>
      <c r="C44" s="220">
        <f>C25/12355504*1000</f>
        <v>1.8726067346180293</v>
      </c>
      <c r="D44" s="220">
        <f>D25/12355504*1000</f>
        <v>-0.40613478818832482</v>
      </c>
    </row>
    <row r="45" spans="1:4" s="170" customFormat="1" x14ac:dyDescent="0.25">
      <c r="A45" s="74" t="s">
        <v>111</v>
      </c>
      <c r="B45" s="74"/>
      <c r="C45" s="221">
        <f>C44</f>
        <v>1.8726067346180293</v>
      </c>
      <c r="D45" s="221">
        <f>D44</f>
        <v>-0.40613478818832482</v>
      </c>
    </row>
    <row r="46" spans="1:4" s="170" customFormat="1" x14ac:dyDescent="0.25">
      <c r="A46" s="74" t="s">
        <v>112</v>
      </c>
      <c r="B46" s="74"/>
      <c r="C46" s="222"/>
      <c r="D46" s="222"/>
    </row>
    <row r="47" spans="1:4" s="170" customFormat="1" x14ac:dyDescent="0.25">
      <c r="A47" s="74" t="s">
        <v>110</v>
      </c>
      <c r="B47" s="74"/>
      <c r="C47" s="221">
        <f>C39/12355504*1000</f>
        <v>1.9673013743510583</v>
      </c>
      <c r="D47" s="221">
        <f>D39/12355504*1000</f>
        <v>-0.21261779365698072</v>
      </c>
    </row>
    <row r="48" spans="1:4" s="170" customFormat="1" ht="17.25" customHeight="1" x14ac:dyDescent="0.25">
      <c r="A48" s="91" t="s">
        <v>111</v>
      </c>
      <c r="B48" s="91"/>
      <c r="C48" s="223">
        <f>C47</f>
        <v>1.9673013743510583</v>
      </c>
      <c r="D48" s="223">
        <f>D47</f>
        <v>-0.21261779365698072</v>
      </c>
    </row>
    <row r="51" spans="1:12" x14ac:dyDescent="0.25">
      <c r="A51" s="224"/>
      <c r="B51" s="225"/>
    </row>
    <row r="52" spans="1:12" ht="34.5" hidden="1" customHeight="1" x14ac:dyDescent="0.25">
      <c r="A52" s="197" t="s">
        <v>235</v>
      </c>
      <c r="B52" s="197"/>
      <c r="C52" s="197"/>
      <c r="D52" s="197"/>
    </row>
    <row r="53" spans="1:12" ht="18" hidden="1" customHeight="1" x14ac:dyDescent="0.25">
      <c r="A53" s="226"/>
      <c r="B53" s="226"/>
      <c r="C53" s="66" t="s">
        <v>71</v>
      </c>
      <c r="D53" s="66"/>
    </row>
    <row r="54" spans="1:12" ht="47.45" hidden="1" customHeight="1" x14ac:dyDescent="0.25">
      <c r="A54" s="65" t="s">
        <v>236</v>
      </c>
      <c r="B54" s="89" t="s">
        <v>5</v>
      </c>
      <c r="C54" s="67" t="str">
        <f>C38</f>
        <v>Okres zakończony 31/12/2021</v>
      </c>
      <c r="D54" s="67" t="str">
        <f>D38</f>
        <v>Okres zakończony 31/12/2020</v>
      </c>
    </row>
    <row r="55" spans="1:12" ht="14.45" hidden="1" customHeight="1" x14ac:dyDescent="0.25">
      <c r="A55" s="65"/>
      <c r="B55" s="90"/>
      <c r="C55" s="227"/>
      <c r="D55" s="67"/>
    </row>
    <row r="56" spans="1:12" hidden="1" x14ac:dyDescent="0.25">
      <c r="A56" s="228" t="s">
        <v>102</v>
      </c>
      <c r="B56" s="228"/>
      <c r="C56" s="110"/>
      <c r="D56" s="229"/>
    </row>
    <row r="57" spans="1:12" ht="18" hidden="1" x14ac:dyDescent="0.25">
      <c r="A57" s="230" t="s">
        <v>116</v>
      </c>
      <c r="B57" s="230"/>
      <c r="C57" s="231"/>
      <c r="D57" s="232"/>
    </row>
    <row r="58" spans="1:12" ht="18" hidden="1" x14ac:dyDescent="0.25">
      <c r="A58" s="233" t="s">
        <v>40</v>
      </c>
      <c r="B58" s="233"/>
      <c r="C58" s="234"/>
      <c r="D58" s="235"/>
      <c r="I58" s="197"/>
      <c r="J58" s="197"/>
      <c r="K58" s="197"/>
      <c r="L58" s="197"/>
    </row>
    <row r="59" spans="1:12" hidden="1" x14ac:dyDescent="0.25">
      <c r="A59" s="236" t="s">
        <v>117</v>
      </c>
      <c r="B59" s="236"/>
      <c r="C59" s="235"/>
      <c r="D59" s="235"/>
    </row>
    <row r="60" spans="1:12" hidden="1" x14ac:dyDescent="0.25">
      <c r="A60" s="236" t="s">
        <v>118</v>
      </c>
      <c r="B60" s="236"/>
      <c r="C60" s="235"/>
      <c r="D60" s="235"/>
    </row>
    <row r="61" spans="1:12" hidden="1" x14ac:dyDescent="0.25">
      <c r="A61" s="237" t="s">
        <v>119</v>
      </c>
      <c r="B61" s="237"/>
      <c r="C61" s="235"/>
      <c r="D61" s="235"/>
    </row>
    <row r="62" spans="1:12" hidden="1" x14ac:dyDescent="0.25">
      <c r="A62" s="238" t="s">
        <v>120</v>
      </c>
      <c r="B62" s="238"/>
      <c r="C62" s="234"/>
      <c r="D62" s="234"/>
    </row>
    <row r="63" spans="1:12" hidden="1" x14ac:dyDescent="0.25"/>
    <row r="72" spans="1:2" ht="16.5" x14ac:dyDescent="0.35">
      <c r="A72" s="100"/>
      <c r="B72" s="100"/>
    </row>
    <row r="76" spans="1:2" ht="16.5" x14ac:dyDescent="0.35">
      <c r="A76" s="61"/>
      <c r="B76" s="100"/>
    </row>
    <row r="78" spans="1:2" ht="16.5" x14ac:dyDescent="0.35">
      <c r="A78" s="100"/>
      <c r="B78" s="100"/>
    </row>
  </sheetData>
  <mergeCells count="24">
    <mergeCell ref="A58:B58"/>
    <mergeCell ref="I58:L58"/>
    <mergeCell ref="A59:B59"/>
    <mergeCell ref="A60:B60"/>
    <mergeCell ref="A61:B61"/>
    <mergeCell ref="A62:B62"/>
    <mergeCell ref="A52:D52"/>
    <mergeCell ref="C53:D53"/>
    <mergeCell ref="A54:A55"/>
    <mergeCell ref="B54:B55"/>
    <mergeCell ref="A56:B56"/>
    <mergeCell ref="A57:B57"/>
    <mergeCell ref="A35:D35"/>
    <mergeCell ref="A37:A38"/>
    <mergeCell ref="B37:B38"/>
    <mergeCell ref="C37:D37"/>
    <mergeCell ref="C41:C42"/>
    <mergeCell ref="D41:D42"/>
    <mergeCell ref="A1:D1"/>
    <mergeCell ref="A2:D2"/>
    <mergeCell ref="A3:A4"/>
    <mergeCell ref="B3:B4"/>
    <mergeCell ref="C3:D3"/>
    <mergeCell ref="I18:J18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&amp;L&amp;"Lato Light,Standardowy"&amp;8&amp;KE73E2ARoczne jednostkowe sprawozdanie finansowe Ailleron SA za okres od 1 stycznia 2021 r. do 31 grudnia 2021 r. 
(wszystkie kwoty podano w tys.PLN, o ile nie wskazano inaczej)</oddHeader>
    <oddFooter>&amp;C&amp;P</oddFooter>
  </headerFooter>
  <rowBreaks count="1" manualBreakCount="1">
    <brk id="34" max="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DC28-63A9-4973-A163-C1C25FF47274}">
  <sheetPr>
    <pageSetUpPr fitToPage="1"/>
  </sheetPr>
  <dimension ref="A1:I21"/>
  <sheetViews>
    <sheetView showGridLines="0" view="pageBreakPreview" zoomScale="120" zoomScaleNormal="100" zoomScaleSheetLayoutView="120" workbookViewId="0">
      <selection activeCell="O69" sqref="O69"/>
    </sheetView>
  </sheetViews>
  <sheetFormatPr defaultColWidth="9.140625" defaultRowHeight="15" x14ac:dyDescent="0.25"/>
  <cols>
    <col min="1" max="1" width="50.85546875" style="12" customWidth="1"/>
    <col min="2" max="2" width="7.85546875" style="12" customWidth="1"/>
    <col min="3" max="4" width="15.85546875" style="12" customWidth="1"/>
    <col min="5" max="16384" width="9.140625" style="12"/>
  </cols>
  <sheetData>
    <row r="1" spans="1:9" s="64" customFormat="1" ht="35.1" customHeight="1" x14ac:dyDescent="0.2">
      <c r="A1" s="11" t="s">
        <v>237</v>
      </c>
      <c r="B1" s="11"/>
      <c r="C1" s="11"/>
      <c r="D1" s="11"/>
    </row>
    <row r="2" spans="1:9" ht="17.25" customHeight="1" x14ac:dyDescent="0.25">
      <c r="A2" s="65" t="s">
        <v>238</v>
      </c>
      <c r="B2" s="89"/>
      <c r="C2" s="66" t="s">
        <v>71</v>
      </c>
      <c r="D2" s="66"/>
    </row>
    <row r="3" spans="1:9" ht="42.75" customHeight="1" x14ac:dyDescent="0.25">
      <c r="A3" s="65"/>
      <c r="B3" s="90"/>
      <c r="C3" s="67" t="s">
        <v>72</v>
      </c>
      <c r="D3" s="67" t="s">
        <v>73</v>
      </c>
    </row>
    <row r="4" spans="1:9" ht="14.45" customHeight="1" x14ac:dyDescent="0.25">
      <c r="A4" s="32" t="s">
        <v>102</v>
      </c>
      <c r="B4" s="77"/>
      <c r="C4" s="101">
        <f>RZIS_j!C39*1000</f>
        <v>24307000</v>
      </c>
      <c r="D4" s="101">
        <f>RZIS_j!D39*1000</f>
        <v>-2627000</v>
      </c>
    </row>
    <row r="5" spans="1:9" ht="14.45" customHeight="1" x14ac:dyDescent="0.25">
      <c r="A5" s="74" t="s">
        <v>116</v>
      </c>
      <c r="B5" s="74"/>
      <c r="C5" s="102">
        <v>0</v>
      </c>
      <c r="D5" s="103">
        <v>0</v>
      </c>
      <c r="H5" s="104"/>
      <c r="I5" s="104"/>
    </row>
    <row r="6" spans="1:9" ht="14.45" hidden="1" customHeight="1" x14ac:dyDescent="0.25">
      <c r="A6" s="77" t="s">
        <v>40</v>
      </c>
      <c r="B6" s="77"/>
      <c r="C6" s="105">
        <v>0</v>
      </c>
      <c r="D6" s="106">
        <v>0</v>
      </c>
    </row>
    <row r="7" spans="1:9" x14ac:dyDescent="0.25">
      <c r="A7" s="32" t="s">
        <v>117</v>
      </c>
      <c r="B7" s="77"/>
      <c r="C7" s="107">
        <f>C6</f>
        <v>0</v>
      </c>
      <c r="D7" s="107">
        <f>D6</f>
        <v>0</v>
      </c>
    </row>
    <row r="8" spans="1:9" ht="17.45" customHeight="1" x14ac:dyDescent="0.25">
      <c r="A8" s="32" t="s">
        <v>118</v>
      </c>
      <c r="B8" s="32"/>
      <c r="C8" s="86">
        <f>C4+C7</f>
        <v>24307000</v>
      </c>
      <c r="D8" s="86">
        <f>D4+D7</f>
        <v>-2627000</v>
      </c>
    </row>
    <row r="9" spans="1:9" x14ac:dyDescent="0.25">
      <c r="A9" s="110"/>
      <c r="B9" s="110"/>
      <c r="C9" s="110"/>
      <c r="D9" s="110"/>
    </row>
    <row r="15" spans="1:9" ht="16.5" x14ac:dyDescent="0.35">
      <c r="A15" s="100"/>
      <c r="B15" s="100"/>
    </row>
    <row r="19" spans="1:2" ht="16.5" x14ac:dyDescent="0.35">
      <c r="A19" s="61"/>
      <c r="B19" s="100"/>
    </row>
    <row r="21" spans="1:2" ht="16.5" x14ac:dyDescent="0.35">
      <c r="A21" s="61"/>
      <c r="B21" s="100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Light,Standardowy"&amp;8&amp;KE73E2ARoczne jednostkowe sprawozdanie finansowe Ailleron SA za okres od 1 stycznia 2021 r. do 31 grudnia 2021 r. 
(wszystkie kwoty podano w tys.PLN, o ile nie wskazano inaczej)</oddHead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E9DF3-EAE5-4399-B574-37648110E58A}">
  <sheetPr>
    <pageSetUpPr fitToPage="1"/>
  </sheetPr>
  <dimension ref="A1:C67"/>
  <sheetViews>
    <sheetView showGridLines="0" view="pageBreakPreview" topLeftCell="A54" zoomScale="130" zoomScaleNormal="100" zoomScaleSheetLayoutView="130" workbookViewId="0">
      <selection activeCell="G55" sqref="G55"/>
    </sheetView>
  </sheetViews>
  <sheetFormatPr defaultRowHeight="15" x14ac:dyDescent="0.25"/>
  <cols>
    <col min="1" max="1" width="50.85546875" style="131" customWidth="1"/>
    <col min="2" max="2" width="14.42578125" style="12" customWidth="1"/>
    <col min="3" max="3" width="14.42578125" style="12" bestFit="1" customWidth="1"/>
    <col min="4" max="16384" width="9.140625" style="12"/>
  </cols>
  <sheetData>
    <row r="1" spans="1:3" ht="51.75" customHeight="1" x14ac:dyDescent="0.25">
      <c r="A1" s="239" t="s">
        <v>239</v>
      </c>
      <c r="B1" s="239"/>
      <c r="C1" s="239"/>
    </row>
    <row r="2" spans="1:3" x14ac:dyDescent="0.25">
      <c r="A2" s="112"/>
      <c r="B2" s="113" t="s">
        <v>71</v>
      </c>
      <c r="C2" s="113"/>
    </row>
    <row r="3" spans="1:3" ht="42.6" customHeight="1" x14ac:dyDescent="0.25">
      <c r="A3" s="112"/>
      <c r="B3" s="67" t="s">
        <v>225</v>
      </c>
      <c r="C3" s="67" t="s">
        <v>226</v>
      </c>
    </row>
    <row r="4" spans="1:3" x14ac:dyDescent="0.25">
      <c r="A4" s="114" t="s">
        <v>123</v>
      </c>
      <c r="B4" s="115"/>
      <c r="C4" s="115"/>
    </row>
    <row r="5" spans="1:3" s="170" customFormat="1" x14ac:dyDescent="0.25">
      <c r="A5" s="76" t="s">
        <v>124</v>
      </c>
      <c r="B5" s="240">
        <f>RZIS_j!C32</f>
        <v>24307</v>
      </c>
      <c r="C5" s="241">
        <f>RZIS_j!D32</f>
        <v>-2627</v>
      </c>
    </row>
    <row r="6" spans="1:3" s="170" customFormat="1" x14ac:dyDescent="0.25">
      <c r="A6" s="76" t="s">
        <v>125</v>
      </c>
      <c r="B6" s="240">
        <f>SUM(B7:B29)</f>
        <v>-10168</v>
      </c>
      <c r="C6" s="240">
        <f>SUM(C7:C29)</f>
        <v>20181</v>
      </c>
    </row>
    <row r="7" spans="1:3" s="170" customFormat="1" x14ac:dyDescent="0.25">
      <c r="A7" s="121" t="s">
        <v>126</v>
      </c>
      <c r="B7" s="201">
        <f>RZIS_j!C22+RZIS_j!C30</f>
        <v>5031</v>
      </c>
      <c r="C7" s="201">
        <v>1172</v>
      </c>
    </row>
    <row r="8" spans="1:3" s="170" customFormat="1" x14ac:dyDescent="0.25">
      <c r="A8" s="121" t="s">
        <v>128</v>
      </c>
      <c r="B8" s="208">
        <v>980</v>
      </c>
      <c r="C8" s="205">
        <v>481</v>
      </c>
    </row>
    <row r="9" spans="1:3" s="170" customFormat="1" x14ac:dyDescent="0.25">
      <c r="A9" s="121" t="s">
        <v>129</v>
      </c>
      <c r="B9" s="204">
        <f>-23486-9150</f>
        <v>-32636</v>
      </c>
      <c r="C9" s="125">
        <v>0</v>
      </c>
    </row>
    <row r="10" spans="1:3" s="170" customFormat="1" x14ac:dyDescent="0.25">
      <c r="A10" s="121" t="s">
        <v>240</v>
      </c>
      <c r="B10" s="208">
        <v>-351</v>
      </c>
      <c r="C10" s="205">
        <v>-138</v>
      </c>
    </row>
    <row r="11" spans="1:3" s="170" customFormat="1" ht="25.5" x14ac:dyDescent="0.25">
      <c r="A11" s="121" t="s">
        <v>241</v>
      </c>
      <c r="B11" s="128">
        <v>0</v>
      </c>
      <c r="C11" s="205">
        <v>180</v>
      </c>
    </row>
    <row r="12" spans="1:3" s="170" customFormat="1" ht="25.5" x14ac:dyDescent="0.25">
      <c r="A12" s="121" t="s">
        <v>242</v>
      </c>
      <c r="B12" s="204">
        <v>266</v>
      </c>
      <c r="C12" s="125">
        <v>0</v>
      </c>
    </row>
    <row r="13" spans="1:3" s="170" customFormat="1" x14ac:dyDescent="0.25">
      <c r="A13" s="121" t="s">
        <v>132</v>
      </c>
      <c r="B13" s="128">
        <v>0</v>
      </c>
      <c r="C13" s="205">
        <v>41</v>
      </c>
    </row>
    <row r="14" spans="1:3" s="170" customFormat="1" x14ac:dyDescent="0.25">
      <c r="A14" s="121" t="s">
        <v>243</v>
      </c>
      <c r="B14" s="128">
        <v>0</v>
      </c>
      <c r="C14" s="201">
        <v>2748</v>
      </c>
    </row>
    <row r="15" spans="1:3" s="170" customFormat="1" ht="15.95" customHeight="1" x14ac:dyDescent="0.25">
      <c r="A15" s="121" t="s">
        <v>244</v>
      </c>
      <c r="B15" s="204">
        <v>502</v>
      </c>
      <c r="C15" s="201">
        <v>1168</v>
      </c>
    </row>
    <row r="16" spans="1:3" s="170" customFormat="1" ht="24" customHeight="1" x14ac:dyDescent="0.25">
      <c r="A16" s="121" t="s">
        <v>138</v>
      </c>
      <c r="B16" s="208">
        <v>-747</v>
      </c>
      <c r="C16" s="205">
        <v>-478</v>
      </c>
    </row>
    <row r="17" spans="1:3" s="170" customFormat="1" x14ac:dyDescent="0.25">
      <c r="A17" s="121" t="s">
        <v>139</v>
      </c>
      <c r="B17" s="204">
        <v>6912</v>
      </c>
      <c r="C17" s="201">
        <v>8006</v>
      </c>
    </row>
    <row r="18" spans="1:3" s="170" customFormat="1" x14ac:dyDescent="0.25">
      <c r="A18" s="121" t="s">
        <v>141</v>
      </c>
      <c r="B18" s="204">
        <v>532</v>
      </c>
      <c r="C18" s="201">
        <v>-136</v>
      </c>
    </row>
    <row r="19" spans="1:3" s="170" customFormat="1" hidden="1" x14ac:dyDescent="0.25">
      <c r="A19" s="242"/>
      <c r="B19" s="204"/>
      <c r="C19" s="243"/>
    </row>
    <row r="20" spans="1:3" s="170" customFormat="1" x14ac:dyDescent="0.25">
      <c r="A20" s="121" t="s">
        <v>143</v>
      </c>
      <c r="B20" s="204"/>
      <c r="C20" s="201"/>
    </row>
    <row r="21" spans="1:3" s="170" customFormat="1" ht="25.5" x14ac:dyDescent="0.25">
      <c r="A21" s="121" t="s">
        <v>144</v>
      </c>
      <c r="B21" s="204">
        <f>2012+9150+2917</f>
        <v>14079</v>
      </c>
      <c r="C21" s="201">
        <f>2299+3667</f>
        <v>5966</v>
      </c>
    </row>
    <row r="22" spans="1:3" s="170" customFormat="1" hidden="1" x14ac:dyDescent="0.25">
      <c r="A22" s="121" t="s">
        <v>145</v>
      </c>
      <c r="B22" s="204">
        <v>0</v>
      </c>
      <c r="C22" s="201">
        <v>0</v>
      </c>
    </row>
    <row r="23" spans="1:3" s="170" customFormat="1" x14ac:dyDescent="0.25">
      <c r="A23" s="121" t="s">
        <v>146</v>
      </c>
      <c r="B23" s="204">
        <v>1444</v>
      </c>
      <c r="C23" s="201">
        <v>336</v>
      </c>
    </row>
    <row r="24" spans="1:3" s="170" customFormat="1" x14ac:dyDescent="0.25">
      <c r="A24" s="121" t="s">
        <v>147</v>
      </c>
      <c r="B24" s="204">
        <f>623+1800</f>
        <v>2423</v>
      </c>
      <c r="C24" s="205">
        <v>-660</v>
      </c>
    </row>
    <row r="25" spans="1:3" s="170" customFormat="1" ht="25.5" x14ac:dyDescent="0.25">
      <c r="A25" s="121" t="s">
        <v>245</v>
      </c>
      <c r="B25" s="204">
        <f>-5598+1202-879-907</f>
        <v>-6182</v>
      </c>
      <c r="C25" s="244">
        <f>2138-1912</f>
        <v>226</v>
      </c>
    </row>
    <row r="26" spans="1:3" s="170" customFormat="1" hidden="1" x14ac:dyDescent="0.25">
      <c r="A26" s="121" t="s">
        <v>149</v>
      </c>
      <c r="B26" s="204">
        <f>-907+907</f>
        <v>0</v>
      </c>
      <c r="C26" s="201">
        <f>-1912+1912</f>
        <v>0</v>
      </c>
    </row>
    <row r="27" spans="1:3" s="170" customFormat="1" x14ac:dyDescent="0.25">
      <c r="A27" s="121" t="s">
        <v>150</v>
      </c>
      <c r="B27" s="204">
        <f>1519-1202</f>
        <v>317</v>
      </c>
      <c r="C27" s="201">
        <v>-342</v>
      </c>
    </row>
    <row r="28" spans="1:3" s="170" customFormat="1" x14ac:dyDescent="0.25">
      <c r="A28" s="121" t="s">
        <v>151</v>
      </c>
      <c r="B28" s="204">
        <v>-146</v>
      </c>
      <c r="C28" s="201">
        <v>-589</v>
      </c>
    </row>
    <row r="29" spans="1:3" s="170" customFormat="1" x14ac:dyDescent="0.25">
      <c r="A29" s="121" t="s">
        <v>152</v>
      </c>
      <c r="B29" s="204">
        <v>-2592</v>
      </c>
      <c r="C29" s="201">
        <v>2200</v>
      </c>
    </row>
    <row r="30" spans="1:3" s="170" customFormat="1" x14ac:dyDescent="0.25">
      <c r="A30" s="122" t="s">
        <v>153</v>
      </c>
      <c r="B30" s="200">
        <f>B5+B6</f>
        <v>14139</v>
      </c>
      <c r="C30" s="202">
        <f>C5+C6</f>
        <v>17554</v>
      </c>
    </row>
    <row r="31" spans="1:3" s="170" customFormat="1" x14ac:dyDescent="0.25">
      <c r="A31" s="121" t="s">
        <v>246</v>
      </c>
      <c r="B31" s="204">
        <v>-1512</v>
      </c>
      <c r="C31" s="205">
        <v>-344</v>
      </c>
    </row>
    <row r="32" spans="1:3" s="170" customFormat="1" x14ac:dyDescent="0.25">
      <c r="A32" s="121" t="s">
        <v>155</v>
      </c>
      <c r="B32" s="204">
        <f>-6406+879</f>
        <v>-5527</v>
      </c>
      <c r="C32" s="205">
        <v>-919</v>
      </c>
    </row>
    <row r="33" spans="1:3" s="170" customFormat="1" x14ac:dyDescent="0.25">
      <c r="A33" s="123" t="s">
        <v>156</v>
      </c>
      <c r="B33" s="202">
        <f>SUM(B30:B32)</f>
        <v>7100</v>
      </c>
      <c r="C33" s="202">
        <f>SUM(C30:C32)</f>
        <v>16291</v>
      </c>
    </row>
    <row r="34" spans="1:3" ht="51" customHeight="1" x14ac:dyDescent="0.25">
      <c r="A34" s="245" t="s">
        <v>247</v>
      </c>
      <c r="B34" s="245"/>
      <c r="C34" s="245"/>
    </row>
    <row r="35" spans="1:3" x14ac:dyDescent="0.25">
      <c r="A35" s="112"/>
      <c r="B35" s="113" t="s">
        <v>71</v>
      </c>
      <c r="C35" s="113"/>
    </row>
    <row r="36" spans="1:3" ht="45.75" customHeight="1" x14ac:dyDescent="0.25">
      <c r="A36" s="112"/>
      <c r="B36" s="67" t="str">
        <f>B3</f>
        <v>Okres zakończony 31/12/2021</v>
      </c>
      <c r="C36" s="67" t="str">
        <f>C3</f>
        <v>Okres zakończony 31/12/2020</v>
      </c>
    </row>
    <row r="37" spans="1:3" x14ac:dyDescent="0.25">
      <c r="A37" s="121"/>
      <c r="B37" s="205"/>
      <c r="C37" s="205"/>
    </row>
    <row r="38" spans="1:3" x14ac:dyDescent="0.25">
      <c r="A38" s="246" t="s">
        <v>158</v>
      </c>
      <c r="B38" s="124"/>
      <c r="C38" s="124"/>
    </row>
    <row r="39" spans="1:3" s="170" customFormat="1" x14ac:dyDescent="0.25">
      <c r="A39" s="121" t="s">
        <v>248</v>
      </c>
      <c r="B39" s="247">
        <v>37422</v>
      </c>
      <c r="C39" s="247">
        <v>0</v>
      </c>
    </row>
    <row r="40" spans="1:3" s="170" customFormat="1" x14ac:dyDescent="0.25">
      <c r="A40" s="121" t="s">
        <v>164</v>
      </c>
      <c r="B40" s="204">
        <v>-527</v>
      </c>
      <c r="C40" s="204">
        <v>-613</v>
      </c>
    </row>
    <row r="41" spans="1:3" s="170" customFormat="1" x14ac:dyDescent="0.25">
      <c r="A41" s="121" t="s">
        <v>249</v>
      </c>
      <c r="B41" s="247">
        <v>20</v>
      </c>
      <c r="C41" s="247">
        <v>10</v>
      </c>
    </row>
    <row r="42" spans="1:3" s="170" customFormat="1" x14ac:dyDescent="0.25">
      <c r="A42" s="121" t="s">
        <v>168</v>
      </c>
      <c r="B42" s="247">
        <v>0</v>
      </c>
      <c r="C42" s="248">
        <v>-40</v>
      </c>
    </row>
    <row r="43" spans="1:3" s="170" customFormat="1" x14ac:dyDescent="0.25">
      <c r="A43" s="121" t="s">
        <v>169</v>
      </c>
      <c r="B43" s="244">
        <f>-8395-B44</f>
        <v>-737</v>
      </c>
      <c r="C43" s="201">
        <v>-1758</v>
      </c>
    </row>
    <row r="44" spans="1:3" s="170" customFormat="1" x14ac:dyDescent="0.25">
      <c r="A44" s="121" t="s">
        <v>250</v>
      </c>
      <c r="B44" s="244">
        <f>-7658</f>
        <v>-7658</v>
      </c>
      <c r="C44" s="247">
        <v>0</v>
      </c>
    </row>
    <row r="45" spans="1:3" s="170" customFormat="1" x14ac:dyDescent="0.25">
      <c r="A45" s="121" t="s">
        <v>251</v>
      </c>
      <c r="B45" s="201">
        <v>9150</v>
      </c>
      <c r="C45" s="247">
        <v>0</v>
      </c>
    </row>
    <row r="46" spans="1:3" s="170" customFormat="1" x14ac:dyDescent="0.25">
      <c r="A46" s="121" t="s">
        <v>170</v>
      </c>
      <c r="B46" s="201">
        <v>612</v>
      </c>
      <c r="C46" s="205">
        <v>197</v>
      </c>
    </row>
    <row r="47" spans="1:3" s="170" customFormat="1" x14ac:dyDescent="0.25">
      <c r="A47" s="121" t="s">
        <v>252</v>
      </c>
      <c r="B47" s="247">
        <v>0</v>
      </c>
      <c r="C47" s="205">
        <v>335</v>
      </c>
    </row>
    <row r="48" spans="1:3" s="170" customFormat="1" ht="26.25" customHeight="1" x14ac:dyDescent="0.25">
      <c r="A48" s="123" t="s">
        <v>253</v>
      </c>
      <c r="B48" s="202">
        <f>SUM(B39:B47)</f>
        <v>38282</v>
      </c>
      <c r="C48" s="202">
        <f>SUM(C39:C47)</f>
        <v>-1869</v>
      </c>
    </row>
    <row r="49" spans="1:3" s="170" customFormat="1" x14ac:dyDescent="0.25">
      <c r="A49" s="114" t="s">
        <v>175</v>
      </c>
      <c r="B49" s="209"/>
      <c r="C49" s="209"/>
    </row>
    <row r="50" spans="1:3" s="170" customFormat="1" x14ac:dyDescent="0.25">
      <c r="A50" s="121" t="s">
        <v>167</v>
      </c>
      <c r="B50" s="204">
        <v>-3954</v>
      </c>
      <c r="C50" s="247">
        <v>0</v>
      </c>
    </row>
    <row r="51" spans="1:3" s="170" customFormat="1" x14ac:dyDescent="0.25">
      <c r="A51" s="121" t="s">
        <v>254</v>
      </c>
      <c r="B51" s="204">
        <f>-15130+224</f>
        <v>-14906</v>
      </c>
      <c r="C51" s="201">
        <v>-2762</v>
      </c>
    </row>
    <row r="52" spans="1:3" s="170" customFormat="1" x14ac:dyDescent="0.25">
      <c r="A52" s="121" t="s">
        <v>180</v>
      </c>
      <c r="B52" s="204">
        <v>-12</v>
      </c>
      <c r="C52" s="201">
        <v>-104</v>
      </c>
    </row>
    <row r="53" spans="1:3" s="170" customFormat="1" x14ac:dyDescent="0.25">
      <c r="A53" s="121" t="s">
        <v>255</v>
      </c>
      <c r="B53" s="204">
        <v>-212</v>
      </c>
      <c r="C53" s="204">
        <v>-87</v>
      </c>
    </row>
    <row r="54" spans="1:3" s="170" customFormat="1" x14ac:dyDescent="0.25">
      <c r="A54" s="121" t="s">
        <v>183</v>
      </c>
      <c r="B54" s="249">
        <v>0</v>
      </c>
      <c r="C54" s="204">
        <v>4500</v>
      </c>
    </row>
    <row r="55" spans="1:3" s="170" customFormat="1" x14ac:dyDescent="0.25">
      <c r="A55" s="121" t="s">
        <v>187</v>
      </c>
      <c r="B55" s="201">
        <v>-3419</v>
      </c>
      <c r="C55" s="201">
        <v>-5375</v>
      </c>
    </row>
    <row r="56" spans="1:3" s="170" customFormat="1" ht="26.25" customHeight="1" x14ac:dyDescent="0.25">
      <c r="A56" s="123" t="s">
        <v>188</v>
      </c>
      <c r="B56" s="202">
        <f>SUM(B50:B55)</f>
        <v>-22503</v>
      </c>
      <c r="C56" s="202">
        <f>SUM(C50:C55)</f>
        <v>-3828</v>
      </c>
    </row>
    <row r="57" spans="1:3" s="170" customFormat="1" x14ac:dyDescent="0.25">
      <c r="A57" s="129" t="s">
        <v>189</v>
      </c>
      <c r="B57" s="201">
        <f>B33+B56+B48</f>
        <v>22879</v>
      </c>
      <c r="C57" s="201">
        <f>C33+C56+C48</f>
        <v>10594</v>
      </c>
    </row>
    <row r="58" spans="1:3" s="170" customFormat="1" ht="28.5" customHeight="1" x14ac:dyDescent="0.25">
      <c r="A58" s="129" t="s">
        <v>190</v>
      </c>
      <c r="B58" s="204">
        <v>11676</v>
      </c>
      <c r="C58" s="201">
        <v>1082</v>
      </c>
    </row>
    <row r="59" spans="1:3" s="170" customFormat="1" x14ac:dyDescent="0.25">
      <c r="A59" s="129" t="s">
        <v>256</v>
      </c>
      <c r="B59" s="128">
        <v>0</v>
      </c>
      <c r="C59" s="125">
        <v>0</v>
      </c>
    </row>
    <row r="60" spans="1:3" s="170" customFormat="1" ht="28.5" x14ac:dyDescent="0.25">
      <c r="A60" s="130" t="s">
        <v>194</v>
      </c>
      <c r="B60" s="250">
        <f>B57+B58+B59</f>
        <v>34555</v>
      </c>
      <c r="C60" s="250">
        <f>C57+C58</f>
        <v>11676</v>
      </c>
    </row>
    <row r="64" spans="1:3" ht="23.25" customHeight="1" x14ac:dyDescent="0.25"/>
    <row r="65" spans="1:1" ht="23.25" customHeight="1" x14ac:dyDescent="0.25"/>
    <row r="66" spans="1:1" ht="12" customHeight="1" x14ac:dyDescent="0.25"/>
    <row r="67" spans="1:1" ht="30.75" customHeight="1" x14ac:dyDescent="0.3">
      <c r="A67" s="132"/>
    </row>
  </sheetData>
  <mergeCells count="6">
    <mergeCell ref="A1:C1"/>
    <mergeCell ref="A2:A3"/>
    <mergeCell ref="B2:C2"/>
    <mergeCell ref="A34:C34"/>
    <mergeCell ref="A35:A36"/>
    <mergeCell ref="B35:C3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&amp;L&amp;"Lato Light,Regular"&amp;8&amp;KE73E2ARoczne jednostkowe sprawozdanie finansowe Ailleron SA za okres od 1 stycznia 2021 r. do 31 grudnia 2021 r                                          (wszystkie kwoty podano w tys.PLN, o ile nie wskazano inaczej)</oddHeader>
    <oddFooter>&amp;C&amp;P</oddFooter>
  </headerFooter>
  <rowBreaks count="1" manualBreakCount="1">
    <brk id="33" max="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1755-CC45-4F9A-9E53-BE8E558ED726}">
  <sheetPr>
    <pageSetUpPr fitToPage="1"/>
  </sheetPr>
  <dimension ref="A1:F27"/>
  <sheetViews>
    <sheetView showGridLines="0" tabSelected="1" view="pageBreakPreview" zoomScale="120" zoomScaleNormal="100" zoomScaleSheetLayoutView="120" workbookViewId="0">
      <selection activeCell="G4" sqref="G1:G1048576"/>
    </sheetView>
  </sheetViews>
  <sheetFormatPr defaultColWidth="9.140625" defaultRowHeight="15" x14ac:dyDescent="0.25"/>
  <cols>
    <col min="1" max="1" width="43.5703125" style="12" bestFit="1" customWidth="1"/>
    <col min="2" max="6" width="10.5703125" style="12" customWidth="1"/>
    <col min="7" max="16384" width="9.140625" style="12"/>
  </cols>
  <sheetData>
    <row r="1" spans="1:6" ht="38.25" customHeight="1" x14ac:dyDescent="0.25">
      <c r="A1" s="251" t="s">
        <v>257</v>
      </c>
      <c r="B1" s="251"/>
      <c r="C1" s="251"/>
      <c r="D1" s="251"/>
      <c r="E1" s="251"/>
      <c r="F1" s="251"/>
    </row>
    <row r="2" spans="1:6" s="254" customFormat="1" ht="14.25" x14ac:dyDescent="0.2">
      <c r="A2" s="252"/>
      <c r="B2" s="253" t="s">
        <v>71</v>
      </c>
      <c r="C2" s="66"/>
      <c r="D2" s="66"/>
      <c r="E2" s="66"/>
      <c r="F2" s="66"/>
    </row>
    <row r="3" spans="1:6" s="254" customFormat="1" ht="57.6" customHeight="1" x14ac:dyDescent="0.3">
      <c r="A3" s="255"/>
      <c r="B3" s="256" t="s">
        <v>196</v>
      </c>
      <c r="C3" s="256" t="s">
        <v>36</v>
      </c>
      <c r="D3" s="256" t="s">
        <v>35</v>
      </c>
      <c r="E3" s="256" t="s">
        <v>37</v>
      </c>
      <c r="F3" s="257" t="s">
        <v>200</v>
      </c>
    </row>
    <row r="4" spans="1:6" s="170" customFormat="1" ht="14.1" customHeight="1" x14ac:dyDescent="0.25">
      <c r="A4" s="258" t="s">
        <v>258</v>
      </c>
      <c r="B4" s="259">
        <v>3707</v>
      </c>
      <c r="C4" s="260">
        <v>0</v>
      </c>
      <c r="D4" s="260">
        <v>38412</v>
      </c>
      <c r="E4" s="260">
        <v>25455</v>
      </c>
      <c r="F4" s="259">
        <f>SUM(B4:E4)</f>
        <v>67574</v>
      </c>
    </row>
    <row r="5" spans="1:6" s="170" customFormat="1" ht="14.1" customHeight="1" x14ac:dyDescent="0.25">
      <c r="A5" s="261" t="s">
        <v>202</v>
      </c>
      <c r="B5" s="262">
        <v>0</v>
      </c>
      <c r="C5" s="262">
        <v>0</v>
      </c>
      <c r="D5" s="262">
        <v>0</v>
      </c>
      <c r="E5" s="262">
        <f>RZIS_j!D32</f>
        <v>-2627</v>
      </c>
      <c r="F5" s="263">
        <f t="shared" ref="F5:F7" si="0">SUM(B5:E5)</f>
        <v>-2627</v>
      </c>
    </row>
    <row r="6" spans="1:6" s="170" customFormat="1" ht="14.1" customHeight="1" x14ac:dyDescent="0.25">
      <c r="A6" s="258" t="s">
        <v>203</v>
      </c>
      <c r="B6" s="264">
        <v>0</v>
      </c>
      <c r="C6" s="264">
        <v>0</v>
      </c>
      <c r="D6" s="264">
        <v>0</v>
      </c>
      <c r="E6" s="264" t="s">
        <v>259</v>
      </c>
      <c r="F6" s="265">
        <f t="shared" si="0"/>
        <v>0</v>
      </c>
    </row>
    <row r="7" spans="1:6" s="170" customFormat="1" ht="14.1" customHeight="1" x14ac:dyDescent="0.25">
      <c r="A7" s="266" t="s">
        <v>204</v>
      </c>
      <c r="B7" s="260">
        <f>SUM(B5:B6)</f>
        <v>0</v>
      </c>
      <c r="C7" s="260">
        <f t="shared" ref="C7:E7" si="1">SUM(C5:C6)</f>
        <v>0</v>
      </c>
      <c r="D7" s="260">
        <f t="shared" si="1"/>
        <v>0</v>
      </c>
      <c r="E7" s="260">
        <f t="shared" si="1"/>
        <v>-2627</v>
      </c>
      <c r="F7" s="259">
        <f t="shared" si="0"/>
        <v>-2627</v>
      </c>
    </row>
    <row r="8" spans="1:6" s="170" customFormat="1" ht="20.100000000000001" customHeight="1" x14ac:dyDescent="0.25">
      <c r="A8" s="267" t="s">
        <v>260</v>
      </c>
      <c r="B8" s="262">
        <f>B4+B7</f>
        <v>3707</v>
      </c>
      <c r="C8" s="262">
        <f t="shared" ref="C8:F8" si="2">C4+C7</f>
        <v>0</v>
      </c>
      <c r="D8" s="262">
        <f t="shared" si="2"/>
        <v>38412</v>
      </c>
      <c r="E8" s="262">
        <f t="shared" si="2"/>
        <v>22828</v>
      </c>
      <c r="F8" s="265">
        <f t="shared" si="2"/>
        <v>64947</v>
      </c>
    </row>
    <row r="9" spans="1:6" s="78" customFormat="1" ht="20.45" customHeight="1" x14ac:dyDescent="0.25">
      <c r="A9" s="268"/>
      <c r="B9" s="268"/>
      <c r="C9" s="268"/>
      <c r="D9" s="268"/>
      <c r="E9" s="268"/>
      <c r="F9" s="268"/>
    </row>
    <row r="10" spans="1:6" s="270" customFormat="1" ht="12" customHeight="1" x14ac:dyDescent="0.25">
      <c r="A10" s="269" t="s">
        <v>208</v>
      </c>
      <c r="B10" s="259">
        <f>B8</f>
        <v>3707</v>
      </c>
      <c r="C10" s="260">
        <v>0</v>
      </c>
      <c r="D10" s="260">
        <f>D8</f>
        <v>38412</v>
      </c>
      <c r="E10" s="260">
        <f>E8</f>
        <v>22828</v>
      </c>
      <c r="F10" s="259">
        <f t="shared" ref="F10:F16" si="3">SUM(B10:E10)</f>
        <v>64947</v>
      </c>
    </row>
    <row r="11" spans="1:6" s="270" customFormat="1" ht="33.950000000000003" customHeight="1" x14ac:dyDescent="0.25">
      <c r="A11" s="271" t="s">
        <v>202</v>
      </c>
      <c r="B11" s="263">
        <v>0</v>
      </c>
      <c r="C11" s="262">
        <v>0</v>
      </c>
      <c r="D11" s="262">
        <v>0</v>
      </c>
      <c r="E11" s="262">
        <f>RZIS_j!C32</f>
        <v>24307</v>
      </c>
      <c r="F11" s="263">
        <f t="shared" si="3"/>
        <v>24307</v>
      </c>
    </row>
    <row r="12" spans="1:6" s="170" customFormat="1" ht="14.1" customHeight="1" x14ac:dyDescent="0.25">
      <c r="A12" s="269" t="s">
        <v>203</v>
      </c>
      <c r="B12" s="265">
        <v>0</v>
      </c>
      <c r="C12" s="264">
        <v>0</v>
      </c>
      <c r="D12" s="264">
        <v>0</v>
      </c>
      <c r="E12" s="264">
        <v>0</v>
      </c>
      <c r="F12" s="265">
        <f t="shared" si="3"/>
        <v>0</v>
      </c>
    </row>
    <row r="13" spans="1:6" s="170" customFormat="1" ht="14.1" customHeight="1" x14ac:dyDescent="0.25">
      <c r="A13" s="269" t="s">
        <v>204</v>
      </c>
      <c r="B13" s="259">
        <f>SUM(B11:B12)</f>
        <v>0</v>
      </c>
      <c r="C13" s="260">
        <f t="shared" ref="C13:E13" si="4">SUM(C11:C12)</f>
        <v>0</v>
      </c>
      <c r="D13" s="260">
        <f t="shared" si="4"/>
        <v>0</v>
      </c>
      <c r="E13" s="260">
        <f t="shared" si="4"/>
        <v>24307</v>
      </c>
      <c r="F13" s="259">
        <f t="shared" si="3"/>
        <v>24307</v>
      </c>
    </row>
    <row r="14" spans="1:6" s="170" customFormat="1" ht="14.1" customHeight="1" x14ac:dyDescent="0.25">
      <c r="A14" s="271" t="s">
        <v>211</v>
      </c>
      <c r="B14" s="263">
        <v>0</v>
      </c>
      <c r="C14" s="262">
        <v>257</v>
      </c>
      <c r="D14" s="262">
        <v>0</v>
      </c>
      <c r="E14" s="262">
        <v>0</v>
      </c>
      <c r="F14" s="263">
        <f t="shared" si="3"/>
        <v>257</v>
      </c>
    </row>
    <row r="15" spans="1:6" s="170" customFormat="1" ht="14.1" customHeight="1" x14ac:dyDescent="0.25">
      <c r="A15" s="269" t="s">
        <v>212</v>
      </c>
      <c r="B15" s="265">
        <v>0</v>
      </c>
      <c r="C15" s="264">
        <v>0</v>
      </c>
      <c r="D15" s="264">
        <v>0</v>
      </c>
      <c r="E15" s="264">
        <v>-3953</v>
      </c>
      <c r="F15" s="265">
        <f t="shared" si="3"/>
        <v>-3953</v>
      </c>
    </row>
    <row r="16" spans="1:6" s="170" customFormat="1" ht="14.1" customHeight="1" x14ac:dyDescent="0.25">
      <c r="A16" s="271" t="s">
        <v>206</v>
      </c>
      <c r="B16" s="265">
        <f>SUM(B13:B15)</f>
        <v>0</v>
      </c>
      <c r="C16" s="264">
        <f t="shared" ref="C16:E16" si="5">SUM(C13:C15)</f>
        <v>257</v>
      </c>
      <c r="D16" s="264">
        <f t="shared" si="5"/>
        <v>0</v>
      </c>
      <c r="E16" s="264">
        <f t="shared" si="5"/>
        <v>20354</v>
      </c>
      <c r="F16" s="265">
        <f t="shared" si="3"/>
        <v>20611</v>
      </c>
    </row>
    <row r="17" spans="1:6" s="170" customFormat="1" ht="14.1" customHeight="1" x14ac:dyDescent="0.25">
      <c r="A17" s="85" t="s">
        <v>213</v>
      </c>
      <c r="B17" s="265">
        <f>B10+B16</f>
        <v>3707</v>
      </c>
      <c r="C17" s="264">
        <f t="shared" ref="C17:F17" si="6">C10+C16</f>
        <v>257</v>
      </c>
      <c r="D17" s="264">
        <f t="shared" si="6"/>
        <v>38412</v>
      </c>
      <c r="E17" s="264">
        <f t="shared" si="6"/>
        <v>43182</v>
      </c>
      <c r="F17" s="265">
        <f t="shared" si="6"/>
        <v>85558</v>
      </c>
    </row>
    <row r="18" spans="1:6" ht="8.4499999999999993" customHeight="1" x14ac:dyDescent="0.25"/>
    <row r="19" spans="1:6" ht="19.5" customHeight="1" x14ac:dyDescent="0.25"/>
    <row r="20" spans="1:6" ht="15.75" x14ac:dyDescent="0.3">
      <c r="A20" s="132"/>
    </row>
    <row r="21" spans="1:6" ht="30" customHeight="1" x14ac:dyDescent="0.25"/>
    <row r="22" spans="1:6" ht="15" customHeight="1" x14ac:dyDescent="0.3">
      <c r="A22" s="132"/>
    </row>
    <row r="23" spans="1:6" ht="13.5" customHeight="1" x14ac:dyDescent="0.25"/>
    <row r="24" spans="1:6" ht="21.6" customHeight="1" x14ac:dyDescent="0.25"/>
    <row r="25" spans="1:6" ht="11.25" hidden="1" customHeight="1" x14ac:dyDescent="0.25"/>
    <row r="27" spans="1:6" ht="29.45" customHeight="1" x14ac:dyDescent="0.25"/>
  </sheetData>
  <mergeCells count="3">
    <mergeCell ref="A1:F1"/>
    <mergeCell ref="B2:F2"/>
    <mergeCell ref="A9:F9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&amp;L&amp;"Lato Light,Regular"&amp;8&amp;KE73E2ARoczne jednostkowe sprawozdanie finansowe Ailleron SA za okres od 1 stycznia 2021 r. do 31 grudnia 2021 r
(wszystkie kwoty podano w tys.PLN, o ile nie wskazano inaczej)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10</vt:i4>
      </vt:variant>
    </vt:vector>
  </HeadingPairs>
  <TitlesOfParts>
    <vt:vector size="21" baseType="lpstr">
      <vt:lpstr>Bilans_s</vt:lpstr>
      <vt:lpstr>RZIS_s</vt:lpstr>
      <vt:lpstr>SSCD_s</vt:lpstr>
      <vt:lpstr>CF_s</vt:lpstr>
      <vt:lpstr>ZZKW_s</vt:lpstr>
      <vt:lpstr>Arkusz1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2022-04-29T18:59:10Z</dcterms:modified>
</cp:coreProperties>
</file>